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913"/>
  <workbookPr showInkAnnotation="0" autoCompressPictures="0"/>
  <mc:AlternateContent xmlns:mc="http://schemas.openxmlformats.org/markup-compatibility/2006">
    <mc:Choice Requires="x15">
      <x15ac:absPath xmlns:x15ac="http://schemas.microsoft.com/office/spreadsheetml/2010/11/ac" url="/Users/sepporaudaskoski/Desktop/"/>
    </mc:Choice>
  </mc:AlternateContent>
  <xr:revisionPtr revIDLastSave="0" documentId="13_ncr:1_{44FAF92A-090D-8745-90D2-AEAC98247A17}" xr6:coauthVersionLast="45" xr6:coauthVersionMax="45" xr10:uidLastSave="{00000000-0000-0000-0000-000000000000}"/>
  <bookViews>
    <workbookView xWindow="0" yWindow="460" windowWidth="38400" windowHeight="21140" tabRatio="500" xr2:uid="{00000000-000D-0000-FFFF-FFFF00000000}"/>
  </bookViews>
  <sheets>
    <sheet name="Taulukko" sheetId="1" r:id="rId1"/>
    <sheet name="Ohjeet" sheetId="2" r:id="rId2"/>
    <sheet name="Valikot" sheetId="3" r:id="rId3"/>
  </sheets>
  <definedNames>
    <definedName name="_xlnm._FilterDatabase" localSheetId="0" hidden="1">Taulukko!$A$1:$M$10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645" i="1" l="1"/>
  <c r="B599" i="1"/>
  <c r="B593" i="1"/>
  <c r="B587" i="1"/>
  <c r="B581" i="1"/>
  <c r="B575" i="1"/>
  <c r="B569" i="1"/>
  <c r="B309" i="1"/>
  <c r="B349" i="1"/>
  <c r="B501" i="1"/>
  <c r="B495" i="1"/>
  <c r="B489" i="1"/>
  <c r="B477" i="1"/>
  <c r="B471" i="1"/>
  <c r="B465" i="1"/>
  <c r="B459" i="1"/>
  <c r="B453" i="1"/>
  <c r="B447" i="1"/>
  <c r="B441" i="1"/>
  <c r="B435" i="1"/>
  <c r="B429" i="1"/>
  <c r="B417" i="1"/>
  <c r="B411" i="1"/>
  <c r="B405" i="1"/>
  <c r="B404" i="1"/>
  <c r="B403" i="1"/>
  <c r="B423" i="1"/>
  <c r="B427" i="1"/>
  <c r="B428" i="1"/>
  <c r="B421" i="1"/>
  <c r="B422" i="1"/>
  <c r="B397" i="1"/>
  <c r="B389" i="1"/>
  <c r="B381" i="1"/>
  <c r="B365" i="1"/>
  <c r="B373" i="1"/>
  <c r="B357" i="1"/>
  <c r="B341" i="1"/>
  <c r="B333" i="1"/>
  <c r="B325" i="1"/>
  <c r="B317" i="1"/>
  <c r="B301" i="1"/>
  <c r="B287" i="1"/>
  <c r="B279" i="1"/>
  <c r="B271" i="1"/>
  <c r="B257" i="1"/>
  <c r="B229" i="1"/>
  <c r="B221" i="1"/>
  <c r="B207" i="1"/>
  <c r="D405" i="1"/>
  <c r="D404" i="1"/>
  <c r="D403" i="1"/>
  <c r="G545" i="1" l="1"/>
  <c r="G543" i="1" l="1"/>
  <c r="C9" i="1"/>
  <c r="B142" i="1" l="1"/>
  <c r="H3" i="1"/>
  <c r="H2" i="1"/>
  <c r="B124" i="1" s="1"/>
  <c r="C7" i="1"/>
  <c r="G7" i="1"/>
  <c r="G6" i="1"/>
  <c r="G5" i="1"/>
  <c r="G4" i="1"/>
  <c r="G3" i="1"/>
  <c r="G2" i="1"/>
  <c r="H7" i="1"/>
  <c r="I7" i="1" s="1"/>
  <c r="N151" i="1" s="1"/>
  <c r="E545" i="1" l="1"/>
  <c r="E543" i="1"/>
  <c r="C543" i="1"/>
  <c r="C545" i="1"/>
  <c r="C591" i="1"/>
  <c r="C131" i="1"/>
  <c r="C133" i="1"/>
  <c r="C132" i="1"/>
  <c r="J124" i="1"/>
  <c r="I124" i="1"/>
  <c r="H124" i="1"/>
  <c r="G124" i="1"/>
  <c r="F124" i="1"/>
  <c r="E124" i="1"/>
  <c r="D124" i="1"/>
  <c r="C124" i="1"/>
  <c r="B126" i="1"/>
  <c r="B125" i="1"/>
  <c r="C4" i="1"/>
  <c r="C136" i="1" l="1"/>
  <c r="C134" i="1"/>
  <c r="J133" i="1"/>
  <c r="I133" i="1"/>
  <c r="H133" i="1"/>
  <c r="G133" i="1"/>
  <c r="F133" i="1"/>
  <c r="E133" i="1"/>
  <c r="D133" i="1"/>
  <c r="B133" i="1"/>
  <c r="C135" i="1"/>
  <c r="J132" i="1"/>
  <c r="I132" i="1"/>
  <c r="H132" i="1"/>
  <c r="G132" i="1"/>
  <c r="F132" i="1"/>
  <c r="E132" i="1"/>
  <c r="D132" i="1"/>
  <c r="B132" i="1"/>
  <c r="J131" i="1"/>
  <c r="I131" i="1"/>
  <c r="H131" i="1"/>
  <c r="G131" i="1"/>
  <c r="F131" i="1"/>
  <c r="E131" i="1"/>
  <c r="D131" i="1"/>
  <c r="B131" i="1"/>
  <c r="J125" i="1"/>
  <c r="I125" i="1"/>
  <c r="H125" i="1"/>
  <c r="G125" i="1"/>
  <c r="F125" i="1"/>
  <c r="E125" i="1"/>
  <c r="D125" i="1"/>
  <c r="C125" i="1"/>
  <c r="J126" i="1"/>
  <c r="I126" i="1"/>
  <c r="H126" i="1"/>
  <c r="G126" i="1"/>
  <c r="F126" i="1"/>
  <c r="E126" i="1"/>
  <c r="D126" i="1"/>
  <c r="C126" i="1"/>
  <c r="B129" i="1"/>
  <c r="B127" i="1"/>
  <c r="B128" i="1"/>
  <c r="B193" i="1"/>
  <c r="B192" i="1"/>
  <c r="B191" i="1"/>
  <c r="B190" i="1"/>
  <c r="B189" i="1"/>
  <c r="B188" i="1"/>
  <c r="B187" i="1"/>
  <c r="B186" i="1"/>
  <c r="B185" i="1"/>
  <c r="B183" i="1"/>
  <c r="B174" i="1"/>
  <c r="B147" i="1"/>
  <c r="B144" i="1"/>
  <c r="B143" i="1"/>
  <c r="J134" i="1" l="1"/>
  <c r="I134" i="1"/>
  <c r="H134" i="1"/>
  <c r="G134" i="1"/>
  <c r="F134" i="1"/>
  <c r="E134" i="1"/>
  <c r="D134" i="1"/>
  <c r="B134" i="1"/>
  <c r="J135" i="1"/>
  <c r="I135" i="1"/>
  <c r="H135" i="1"/>
  <c r="G135" i="1"/>
  <c r="F135" i="1"/>
  <c r="E135" i="1"/>
  <c r="D135" i="1"/>
  <c r="B135" i="1"/>
  <c r="J136" i="1"/>
  <c r="I136" i="1"/>
  <c r="H136" i="1"/>
  <c r="G136" i="1"/>
  <c r="F136" i="1"/>
  <c r="E136" i="1"/>
  <c r="D136" i="1"/>
  <c r="B136" i="1"/>
  <c r="J127" i="1"/>
  <c r="I127" i="1"/>
  <c r="H127" i="1"/>
  <c r="G127" i="1"/>
  <c r="F127" i="1"/>
  <c r="E127" i="1"/>
  <c r="D127" i="1"/>
  <c r="C127" i="1"/>
  <c r="I128" i="1"/>
  <c r="H128" i="1"/>
  <c r="G128" i="1"/>
  <c r="F128" i="1"/>
  <c r="E128" i="1"/>
  <c r="D128" i="1"/>
  <c r="C128" i="1"/>
  <c r="J128" i="1"/>
  <c r="J129" i="1"/>
  <c r="I129" i="1"/>
  <c r="H129" i="1"/>
  <c r="G129" i="1"/>
  <c r="F129" i="1"/>
  <c r="E129" i="1"/>
  <c r="D129" i="1"/>
  <c r="C129" i="1"/>
  <c r="F827" i="1"/>
  <c r="F826" i="1"/>
  <c r="F825" i="1"/>
  <c r="F824" i="1"/>
  <c r="F823" i="1"/>
  <c r="G195" i="1" l="1"/>
  <c r="G180" i="1"/>
  <c r="G175" i="1"/>
  <c r="G174" i="1"/>
  <c r="G171" i="1"/>
  <c r="G159" i="1"/>
  <c r="G148" i="1"/>
  <c r="G145" i="1"/>
  <c r="N28" i="1" l="1"/>
  <c r="H6" i="1"/>
  <c r="I6" i="1" s="1"/>
  <c r="C30" i="1" s="1"/>
  <c r="I3" i="1" l="1"/>
  <c r="I2" i="1"/>
  <c r="D831" i="1" l="1"/>
  <c r="D837" i="1"/>
  <c r="D543" i="1"/>
  <c r="F543" i="1" s="1"/>
  <c r="D203" i="1"/>
  <c r="C29" i="1"/>
  <c r="O143" i="1"/>
  <c r="G204" i="1"/>
  <c r="G844" i="1"/>
  <c r="G843" i="1"/>
  <c r="G837" i="1"/>
  <c r="G831" i="1"/>
  <c r="G827" i="1"/>
  <c r="G826" i="1"/>
  <c r="G825" i="1"/>
  <c r="G824" i="1"/>
  <c r="G823" i="1"/>
  <c r="G810" i="1"/>
  <c r="G797" i="1"/>
  <c r="G784" i="1"/>
  <c r="G771" i="1"/>
  <c r="G758" i="1"/>
  <c r="G745" i="1"/>
  <c r="G732" i="1"/>
  <c r="G719" i="1"/>
  <c r="G706" i="1"/>
  <c r="G693" i="1"/>
  <c r="G687" i="1"/>
  <c r="G686" i="1"/>
  <c r="G685" i="1"/>
  <c r="G684" i="1"/>
  <c r="G683" i="1"/>
  <c r="G679" i="1"/>
  <c r="G678" i="1"/>
  <c r="G677" i="1"/>
  <c r="G676" i="1"/>
  <c r="G675" i="1"/>
  <c r="G671" i="1"/>
  <c r="G670" i="1"/>
  <c r="G669" i="1"/>
  <c r="G668" i="1"/>
  <c r="G667" i="1"/>
  <c r="G663" i="1"/>
  <c r="G662" i="1"/>
  <c r="G661" i="1"/>
  <c r="G660" i="1"/>
  <c r="G659" i="1"/>
  <c r="G655" i="1"/>
  <c r="G654" i="1"/>
  <c r="G653" i="1"/>
  <c r="G652" i="1"/>
  <c r="G651" i="1"/>
  <c r="G645" i="1"/>
  <c r="G644" i="1"/>
  <c r="G643" i="1"/>
  <c r="G642" i="1"/>
  <c r="G641" i="1"/>
  <c r="G635" i="1"/>
  <c r="G629" i="1"/>
  <c r="G623" i="1"/>
  <c r="G617" i="1"/>
  <c r="G611" i="1"/>
  <c r="G605" i="1"/>
  <c r="G599" i="1"/>
  <c r="G598" i="1"/>
  <c r="G597" i="1"/>
  <c r="G593" i="1"/>
  <c r="G592" i="1"/>
  <c r="G591" i="1"/>
  <c r="G587" i="1"/>
  <c r="G586" i="1"/>
  <c r="G585" i="1"/>
  <c r="G581" i="1"/>
  <c r="G580" i="1"/>
  <c r="G579" i="1"/>
  <c r="G575" i="1"/>
  <c r="G574" i="1"/>
  <c r="G573" i="1"/>
  <c r="G569" i="1"/>
  <c r="G568" i="1"/>
  <c r="G567" i="1"/>
  <c r="G559" i="1"/>
  <c r="G553" i="1"/>
  <c r="G537" i="1"/>
  <c r="G531" i="1"/>
  <c r="G525" i="1"/>
  <c r="G519" i="1"/>
  <c r="G513" i="1"/>
  <c r="G507" i="1"/>
  <c r="G506" i="1"/>
  <c r="G505" i="1"/>
  <c r="G504" i="1"/>
  <c r="G503" i="1"/>
  <c r="G501" i="1"/>
  <c r="G500" i="1"/>
  <c r="G499" i="1"/>
  <c r="G495" i="1"/>
  <c r="G494" i="1"/>
  <c r="G493" i="1"/>
  <c r="G489" i="1"/>
  <c r="G488" i="1"/>
  <c r="G487" i="1"/>
  <c r="G483" i="1"/>
  <c r="G482" i="1"/>
  <c r="G481" i="1"/>
  <c r="G480" i="1"/>
  <c r="G479" i="1"/>
  <c r="G477" i="1"/>
  <c r="G476" i="1"/>
  <c r="G475" i="1"/>
  <c r="G471" i="1"/>
  <c r="G470" i="1"/>
  <c r="G469" i="1"/>
  <c r="G465" i="1"/>
  <c r="G464" i="1"/>
  <c r="G463" i="1"/>
  <c r="G459" i="1"/>
  <c r="G458" i="1"/>
  <c r="G457" i="1"/>
  <c r="G453" i="1"/>
  <c r="G452" i="1"/>
  <c r="G451" i="1"/>
  <c r="G447" i="1"/>
  <c r="G446" i="1"/>
  <c r="G445" i="1"/>
  <c r="G441" i="1"/>
  <c r="G440" i="1"/>
  <c r="G439" i="1"/>
  <c r="G435" i="1"/>
  <c r="G434" i="1"/>
  <c r="G433" i="1"/>
  <c r="G429" i="1"/>
  <c r="G428" i="1"/>
  <c r="G427" i="1"/>
  <c r="G423" i="1"/>
  <c r="G422" i="1"/>
  <c r="G421" i="1"/>
  <c r="G417" i="1"/>
  <c r="G416" i="1"/>
  <c r="G415" i="1"/>
  <c r="G411" i="1"/>
  <c r="G410" i="1"/>
  <c r="G409" i="1"/>
  <c r="G405" i="1"/>
  <c r="G404" i="1"/>
  <c r="G403" i="1"/>
  <c r="G389" i="1"/>
  <c r="G388" i="1"/>
  <c r="G387" i="1"/>
  <c r="G386" i="1"/>
  <c r="G385" i="1"/>
  <c r="G397" i="1"/>
  <c r="G396" i="1"/>
  <c r="G395" i="1"/>
  <c r="G394" i="1"/>
  <c r="G393" i="1"/>
  <c r="G381" i="1"/>
  <c r="G380" i="1"/>
  <c r="G379" i="1"/>
  <c r="G378" i="1"/>
  <c r="G377" i="1"/>
  <c r="G373" i="1"/>
  <c r="G372" i="1"/>
  <c r="G371" i="1"/>
  <c r="G370" i="1"/>
  <c r="G369" i="1"/>
  <c r="G365" i="1"/>
  <c r="G364" i="1"/>
  <c r="G363" i="1"/>
  <c r="G362" i="1"/>
  <c r="G361" i="1"/>
  <c r="G357" i="1"/>
  <c r="G356" i="1"/>
  <c r="G355" i="1"/>
  <c r="G354" i="1"/>
  <c r="G353" i="1"/>
  <c r="G349" i="1"/>
  <c r="G348" i="1"/>
  <c r="G347" i="1"/>
  <c r="G346" i="1"/>
  <c r="G345" i="1"/>
  <c r="G341" i="1"/>
  <c r="G340" i="1"/>
  <c r="G339" i="1"/>
  <c r="G338" i="1"/>
  <c r="G337" i="1"/>
  <c r="G333" i="1"/>
  <c r="G332" i="1"/>
  <c r="G331" i="1"/>
  <c r="G330" i="1"/>
  <c r="G329" i="1"/>
  <c r="G325" i="1"/>
  <c r="G324" i="1"/>
  <c r="G323" i="1"/>
  <c r="G322" i="1"/>
  <c r="G321" i="1"/>
  <c r="G317" i="1"/>
  <c r="G316" i="1"/>
  <c r="G315" i="1"/>
  <c r="G314" i="1"/>
  <c r="G313" i="1"/>
  <c r="G309" i="1"/>
  <c r="G308" i="1"/>
  <c r="G307" i="1"/>
  <c r="G306" i="1"/>
  <c r="G305" i="1"/>
  <c r="G301" i="1"/>
  <c r="G300" i="1"/>
  <c r="G299" i="1"/>
  <c r="G298" i="1"/>
  <c r="G297" i="1"/>
  <c r="G293" i="1"/>
  <c r="G292" i="1"/>
  <c r="G291" i="1"/>
  <c r="G290" i="1"/>
  <c r="G289" i="1"/>
  <c r="G287" i="1"/>
  <c r="G286" i="1"/>
  <c r="G285" i="1"/>
  <c r="G284" i="1"/>
  <c r="G283" i="1"/>
  <c r="G279" i="1"/>
  <c r="G278" i="1"/>
  <c r="G277" i="1"/>
  <c r="G276" i="1"/>
  <c r="G275" i="1"/>
  <c r="G271" i="1"/>
  <c r="G270" i="1"/>
  <c r="G269" i="1"/>
  <c r="G268" i="1"/>
  <c r="G267" i="1"/>
  <c r="G263" i="1"/>
  <c r="G262" i="1"/>
  <c r="G261" i="1"/>
  <c r="G260" i="1"/>
  <c r="G259" i="1"/>
  <c r="G257" i="1"/>
  <c r="G256" i="1"/>
  <c r="G255" i="1"/>
  <c r="G254" i="1"/>
  <c r="G249" i="1"/>
  <c r="G248" i="1"/>
  <c r="G247" i="1"/>
  <c r="G246" i="1"/>
  <c r="G245" i="1"/>
  <c r="G243" i="1"/>
  <c r="G242" i="1"/>
  <c r="G241" i="1"/>
  <c r="G240" i="1"/>
  <c r="G239" i="1"/>
  <c r="G235" i="1"/>
  <c r="G234" i="1"/>
  <c r="G233" i="1"/>
  <c r="G232" i="1"/>
  <c r="G231" i="1"/>
  <c r="G229" i="1"/>
  <c r="G228" i="1"/>
  <c r="G227" i="1"/>
  <c r="G226" i="1"/>
  <c r="G225" i="1"/>
  <c r="G221" i="1"/>
  <c r="G220" i="1"/>
  <c r="G219" i="1"/>
  <c r="G218" i="1"/>
  <c r="G217" i="1"/>
  <c r="G213" i="1"/>
  <c r="G212" i="1"/>
  <c r="G211" i="1"/>
  <c r="G210" i="1"/>
  <c r="G209" i="1"/>
  <c r="G207" i="1"/>
  <c r="G206" i="1"/>
  <c r="G205" i="1"/>
  <c r="G203" i="1"/>
  <c r="G253" i="1"/>
  <c r="N31" i="1"/>
  <c r="F162" i="1" l="1"/>
  <c r="A784" i="1" l="1"/>
  <c r="A719" i="1" l="1"/>
  <c r="A758" i="1"/>
  <c r="A693" i="1"/>
  <c r="A745" i="1"/>
  <c r="A683" i="1"/>
  <c r="A675" i="1"/>
  <c r="A667" i="1"/>
  <c r="A651" i="1"/>
  <c r="A732" i="1"/>
  <c r="A771" i="1"/>
  <c r="A479" i="1" l="1"/>
  <c r="A289" i="1"/>
  <c r="A290" i="1" s="1"/>
  <c r="A259" i="1"/>
  <c r="A262" i="1" s="1"/>
  <c r="A245" i="1"/>
  <c r="A246" i="1" s="1"/>
  <c r="A231" i="1"/>
  <c r="A232" i="1" s="1"/>
  <c r="A209" i="1"/>
  <c r="A210" i="1" s="1"/>
  <c r="A503" i="1"/>
  <c r="A504" i="1" s="1"/>
  <c r="A728" i="1"/>
  <c r="A797" i="1"/>
  <c r="A806" i="1" s="1"/>
  <c r="A810" i="1"/>
  <c r="A706" i="1"/>
  <c r="A659" i="1"/>
  <c r="D784" i="1"/>
  <c r="D771" i="1"/>
  <c r="D693" i="1"/>
  <c r="D745" i="1"/>
  <c r="D706" i="1"/>
  <c r="A260" i="1" l="1"/>
  <c r="A506" i="1"/>
  <c r="A234" i="1"/>
  <c r="A723" i="1"/>
  <c r="A727" i="1"/>
  <c r="A721" i="1"/>
  <c r="A725" i="1"/>
  <c r="A212" i="1"/>
  <c r="A248" i="1"/>
  <c r="A293" i="1"/>
  <c r="A720" i="1"/>
  <c r="A722" i="1"/>
  <c r="A724" i="1"/>
  <c r="A726" i="1"/>
  <c r="A483" i="1"/>
  <c r="A482" i="1"/>
  <c r="A480" i="1"/>
  <c r="A481" i="1"/>
  <c r="A235" i="1"/>
  <c r="A263" i="1"/>
  <c r="A507" i="1"/>
  <c r="A213" i="1"/>
  <c r="A249" i="1"/>
  <c r="A292" i="1"/>
  <c r="A505" i="1"/>
  <c r="A291" i="1"/>
  <c r="A261" i="1"/>
  <c r="A247" i="1"/>
  <c r="A233" i="1"/>
  <c r="A211" i="1"/>
  <c r="A798" i="1"/>
  <c r="A799" i="1"/>
  <c r="A800" i="1"/>
  <c r="A801" i="1"/>
  <c r="A802" i="1"/>
  <c r="A803" i="1"/>
  <c r="A804" i="1"/>
  <c r="A805" i="1"/>
  <c r="A767" i="1"/>
  <c r="F784" i="1"/>
  <c r="A793" i="1"/>
  <c r="F771" i="1"/>
  <c r="A780" i="1"/>
  <c r="A702" i="1"/>
  <c r="F693" i="1"/>
  <c r="A754" i="1"/>
  <c r="F745" i="1"/>
  <c r="A686" i="1"/>
  <c r="A676" i="1"/>
  <c r="A670" i="1"/>
  <c r="A663" i="1"/>
  <c r="A662" i="1"/>
  <c r="A660" i="1"/>
  <c r="A747" i="1" l="1"/>
  <c r="A684" i="1"/>
  <c r="A687" i="1"/>
  <c r="A668" i="1"/>
  <c r="A751" i="1"/>
  <c r="A671" i="1"/>
  <c r="A749" i="1"/>
  <c r="A753" i="1"/>
  <c r="A661" i="1"/>
  <c r="A759" i="1"/>
  <c r="A760" i="1"/>
  <c r="A761" i="1"/>
  <c r="A762" i="1"/>
  <c r="A763" i="1"/>
  <c r="A764" i="1"/>
  <c r="A765" i="1"/>
  <c r="A766" i="1"/>
  <c r="A785" i="1"/>
  <c r="A786" i="1"/>
  <c r="A787" i="1"/>
  <c r="A788" i="1"/>
  <c r="A789" i="1"/>
  <c r="A790" i="1"/>
  <c r="A791" i="1"/>
  <c r="A792" i="1"/>
  <c r="A679" i="1"/>
  <c r="A678" i="1"/>
  <c r="A746" i="1"/>
  <c r="A748" i="1"/>
  <c r="A750" i="1"/>
  <c r="A752" i="1"/>
  <c r="A772" i="1"/>
  <c r="A773" i="1"/>
  <c r="A774" i="1"/>
  <c r="A775" i="1"/>
  <c r="A776" i="1"/>
  <c r="A777" i="1"/>
  <c r="A778" i="1"/>
  <c r="A779" i="1"/>
  <c r="A694" i="1"/>
  <c r="A695" i="1"/>
  <c r="A696" i="1"/>
  <c r="A697" i="1"/>
  <c r="A698" i="1"/>
  <c r="A699" i="1"/>
  <c r="A700" i="1"/>
  <c r="A701" i="1"/>
  <c r="A685" i="1"/>
  <c r="A677" i="1"/>
  <c r="A669" i="1"/>
  <c r="A655" i="1"/>
  <c r="A741" i="1"/>
  <c r="A819" i="1"/>
  <c r="A654" i="1" l="1"/>
  <c r="A652" i="1"/>
  <c r="A653" i="1"/>
  <c r="A733" i="1"/>
  <c r="A734" i="1"/>
  <c r="A735" i="1"/>
  <c r="A736" i="1"/>
  <c r="A737" i="1"/>
  <c r="A738" i="1"/>
  <c r="A739" i="1"/>
  <c r="A740" i="1"/>
  <c r="A811" i="1"/>
  <c r="A812" i="1"/>
  <c r="A813" i="1"/>
  <c r="A814" i="1"/>
  <c r="A815" i="1"/>
  <c r="A816" i="1"/>
  <c r="A817" i="1"/>
  <c r="A818" i="1"/>
  <c r="H5" i="1" l="1"/>
  <c r="I5" i="1" s="1"/>
  <c r="H4" i="1"/>
  <c r="I4" i="1" s="1"/>
  <c r="H100" i="1" l="1"/>
  <c r="C28" i="1"/>
  <c r="C3" i="1"/>
  <c r="B844" i="1" l="1"/>
  <c r="D16" i="1"/>
  <c r="D15" i="1"/>
  <c r="D14" i="1"/>
  <c r="N125" i="1" l="1"/>
  <c r="C2" i="1"/>
  <c r="G113" i="1" s="1"/>
  <c r="H102" i="1"/>
  <c r="M143" i="1"/>
  <c r="M144" i="1"/>
  <c r="A715" i="1"/>
  <c r="A714" i="1"/>
  <c r="A713" i="1"/>
  <c r="A712" i="1"/>
  <c r="A711" i="1"/>
  <c r="A710" i="1"/>
  <c r="A709" i="1"/>
  <c r="A708" i="1"/>
  <c r="A707" i="1"/>
  <c r="F179" i="1"/>
  <c r="F164" i="1"/>
  <c r="F181" i="1"/>
  <c r="F173" i="1"/>
  <c r="F195" i="1"/>
  <c r="F197" i="1"/>
  <c r="F177" i="1"/>
  <c r="F706" i="1"/>
  <c r="D147" i="1" l="1"/>
  <c r="M146" i="1"/>
  <c r="M141" i="1"/>
  <c r="B6" i="1"/>
  <c r="D844" i="1"/>
  <c r="F844" i="1" s="1"/>
  <c r="D675" i="1"/>
  <c r="F675" i="1" s="1"/>
  <c r="D659" i="1"/>
  <c r="F659" i="1" s="1"/>
  <c r="D645" i="1"/>
  <c r="F645" i="1" s="1"/>
  <c r="D643" i="1"/>
  <c r="D641" i="1"/>
  <c r="F641" i="1" s="1"/>
  <c r="D629" i="1"/>
  <c r="F629" i="1" s="1"/>
  <c r="D617" i="1"/>
  <c r="F617" i="1" s="1"/>
  <c r="D605" i="1"/>
  <c r="F605" i="1" s="1"/>
  <c r="D598" i="1"/>
  <c r="F598" i="1" s="1"/>
  <c r="D593" i="1"/>
  <c r="D591" i="1"/>
  <c r="F591" i="1" s="1"/>
  <c r="D586" i="1"/>
  <c r="F586" i="1" s="1"/>
  <c r="D581" i="1"/>
  <c r="F581" i="1" s="1"/>
  <c r="D579" i="1"/>
  <c r="D574" i="1"/>
  <c r="F574" i="1" s="1"/>
  <c r="D569" i="1"/>
  <c r="F569" i="1" s="1"/>
  <c r="D567" i="1"/>
  <c r="F567" i="1" s="1"/>
  <c r="D553" i="1"/>
  <c r="D531" i="1"/>
  <c r="F531" i="1" s="1"/>
  <c r="D519" i="1"/>
  <c r="D503" i="1"/>
  <c r="F503" i="1" s="1"/>
  <c r="D500" i="1"/>
  <c r="D495" i="1"/>
  <c r="F495" i="1" s="1"/>
  <c r="D493" i="1"/>
  <c r="D488" i="1"/>
  <c r="F488" i="1" s="1"/>
  <c r="D479" i="1"/>
  <c r="F479" i="1" s="1"/>
  <c r="D476" i="1"/>
  <c r="F476" i="1" s="1"/>
  <c r="D471" i="1"/>
  <c r="D469" i="1"/>
  <c r="F469" i="1" s="1"/>
  <c r="D464" i="1"/>
  <c r="D459" i="1"/>
  <c r="F459" i="1" s="1"/>
  <c r="D457" i="1"/>
  <c r="D452" i="1"/>
  <c r="F452" i="1" s="1"/>
  <c r="D447" i="1"/>
  <c r="F447" i="1" s="1"/>
  <c r="D445" i="1"/>
  <c r="F445" i="1" s="1"/>
  <c r="D440" i="1"/>
  <c r="D435" i="1"/>
  <c r="F435" i="1" s="1"/>
  <c r="D433" i="1"/>
  <c r="D428" i="1"/>
  <c r="F428" i="1" s="1"/>
  <c r="D423" i="1"/>
  <c r="D421" i="1"/>
  <c r="F421" i="1" s="1"/>
  <c r="D416" i="1"/>
  <c r="F416" i="1" s="1"/>
  <c r="D411" i="1"/>
  <c r="F411" i="1" s="1"/>
  <c r="D409" i="1"/>
  <c r="F404" i="1"/>
  <c r="D389" i="1"/>
  <c r="F389" i="1" s="1"/>
  <c r="D387" i="1"/>
  <c r="F387" i="1" s="1"/>
  <c r="D385" i="1"/>
  <c r="F385" i="1" s="1"/>
  <c r="D396" i="1"/>
  <c r="F396" i="1" s="1"/>
  <c r="D394" i="1"/>
  <c r="F394" i="1" s="1"/>
  <c r="D381" i="1"/>
  <c r="F381" i="1" s="1"/>
  <c r="D379" i="1"/>
  <c r="F379" i="1" s="1"/>
  <c r="D377" i="1"/>
  <c r="F377" i="1" s="1"/>
  <c r="D372" i="1"/>
  <c r="F372" i="1" s="1"/>
  <c r="D370" i="1"/>
  <c r="F370" i="1" s="1"/>
  <c r="D365" i="1"/>
  <c r="D363" i="1"/>
  <c r="F363" i="1" s="1"/>
  <c r="D361" i="1"/>
  <c r="D356" i="1"/>
  <c r="F356" i="1" s="1"/>
  <c r="D354" i="1"/>
  <c r="F354" i="1" s="1"/>
  <c r="D349" i="1"/>
  <c r="F349" i="1" s="1"/>
  <c r="D347" i="1"/>
  <c r="F347" i="1" s="1"/>
  <c r="D345" i="1"/>
  <c r="F345" i="1" s="1"/>
  <c r="D340" i="1"/>
  <c r="F340" i="1" s="1"/>
  <c r="D338" i="1"/>
  <c r="F338" i="1" s="1"/>
  <c r="D333" i="1"/>
  <c r="F333" i="1" s="1"/>
  <c r="D331" i="1"/>
  <c r="F331" i="1" s="1"/>
  <c r="D329" i="1"/>
  <c r="F329" i="1" s="1"/>
  <c r="D324" i="1"/>
  <c r="F324" i="1" s="1"/>
  <c r="D322" i="1"/>
  <c r="F322" i="1" s="1"/>
  <c r="D317" i="1"/>
  <c r="F317" i="1" s="1"/>
  <c r="D315" i="1"/>
  <c r="F315" i="1" s="1"/>
  <c r="D313" i="1"/>
  <c r="F313" i="1" s="1"/>
  <c r="D308" i="1"/>
  <c r="F308" i="1" s="1"/>
  <c r="D306" i="1"/>
  <c r="F306" i="1" s="1"/>
  <c r="D301" i="1"/>
  <c r="F301" i="1" s="1"/>
  <c r="D299" i="1"/>
  <c r="F299" i="1" s="1"/>
  <c r="D297" i="1"/>
  <c r="F297" i="1" s="1"/>
  <c r="D287" i="1"/>
  <c r="F287" i="1" s="1"/>
  <c r="D667" i="1"/>
  <c r="F667" i="1" s="1"/>
  <c r="D644" i="1"/>
  <c r="F644" i="1" s="1"/>
  <c r="D635" i="1"/>
  <c r="D611" i="1"/>
  <c r="F611" i="1" s="1"/>
  <c r="D597" i="1"/>
  <c r="F597" i="1" s="1"/>
  <c r="D587" i="1"/>
  <c r="F587" i="1" s="1"/>
  <c r="D580" i="1"/>
  <c r="F580" i="1" s="1"/>
  <c r="D573" i="1"/>
  <c r="F573" i="1" s="1"/>
  <c r="D559" i="1"/>
  <c r="D525" i="1"/>
  <c r="F525" i="1" s="1"/>
  <c r="D501" i="1"/>
  <c r="F501" i="1" s="1"/>
  <c r="D494" i="1"/>
  <c r="F494" i="1" s="1"/>
  <c r="D487" i="1"/>
  <c r="D475" i="1"/>
  <c r="F475" i="1" s="1"/>
  <c r="D465" i="1"/>
  <c r="F465" i="1" s="1"/>
  <c r="D458" i="1"/>
  <c r="F458" i="1" s="1"/>
  <c r="D451" i="1"/>
  <c r="D441" i="1"/>
  <c r="F441" i="1" s="1"/>
  <c r="D434" i="1"/>
  <c r="F434" i="1" s="1"/>
  <c r="D427" i="1"/>
  <c r="F427" i="1" s="1"/>
  <c r="D417" i="1"/>
  <c r="F417" i="1" s="1"/>
  <c r="D410" i="1"/>
  <c r="F410" i="1" s="1"/>
  <c r="D386" i="1"/>
  <c r="F386" i="1" s="1"/>
  <c r="D395" i="1"/>
  <c r="F395" i="1" s="1"/>
  <c r="D380" i="1"/>
  <c r="F380" i="1" s="1"/>
  <c r="D373" i="1"/>
  <c r="D369" i="1"/>
  <c r="F369" i="1" s="1"/>
  <c r="D362" i="1"/>
  <c r="F362" i="1" s="1"/>
  <c r="D355" i="1"/>
  <c r="F355" i="1" s="1"/>
  <c r="D348" i="1"/>
  <c r="F348" i="1" s="1"/>
  <c r="D341" i="1"/>
  <c r="F341" i="1" s="1"/>
  <c r="D337" i="1"/>
  <c r="F337" i="1" s="1"/>
  <c r="D330" i="1"/>
  <c r="F330" i="1" s="1"/>
  <c r="D323" i="1"/>
  <c r="F323" i="1" s="1"/>
  <c r="D316" i="1"/>
  <c r="F316" i="1" s="1"/>
  <c r="D309" i="1"/>
  <c r="F309" i="1" s="1"/>
  <c r="D305" i="1"/>
  <c r="F305" i="1" s="1"/>
  <c r="D298" i="1"/>
  <c r="F298" i="1" s="1"/>
  <c r="D286" i="1"/>
  <c r="F286" i="1" s="1"/>
  <c r="D284" i="1"/>
  <c r="D279" i="1"/>
  <c r="F279" i="1" s="1"/>
  <c r="D277" i="1"/>
  <c r="F277" i="1" s="1"/>
  <c r="D275" i="1"/>
  <c r="F275" i="1" s="1"/>
  <c r="D270" i="1"/>
  <c r="F270" i="1" s="1"/>
  <c r="D268" i="1"/>
  <c r="F268" i="1" s="1"/>
  <c r="D259" i="1"/>
  <c r="F259" i="1" s="1"/>
  <c r="D256" i="1"/>
  <c r="F256" i="1" s="1"/>
  <c r="D254" i="1"/>
  <c r="F254" i="1" s="1"/>
  <c r="D245" i="1"/>
  <c r="F245" i="1" s="1"/>
  <c r="D242" i="1"/>
  <c r="D240" i="1"/>
  <c r="F240" i="1" s="1"/>
  <c r="D231" i="1"/>
  <c r="F231" i="1" s="1"/>
  <c r="D228" i="1"/>
  <c r="F228" i="1" s="1"/>
  <c r="D226" i="1"/>
  <c r="F226" i="1" s="1"/>
  <c r="D221" i="1"/>
  <c r="F221" i="1" s="1"/>
  <c r="D219" i="1"/>
  <c r="F219" i="1" s="1"/>
  <c r="D217" i="1"/>
  <c r="F217" i="1" s="1"/>
  <c r="D207" i="1"/>
  <c r="F207" i="1" s="1"/>
  <c r="D205" i="1"/>
  <c r="F205" i="1" s="1"/>
  <c r="F203" i="1"/>
  <c r="D843" i="1"/>
  <c r="F843" i="1" s="1"/>
  <c r="D651" i="1"/>
  <c r="D642" i="1"/>
  <c r="F642" i="1" s="1"/>
  <c r="D623" i="1"/>
  <c r="F623" i="1" s="1"/>
  <c r="D599" i="1"/>
  <c r="F599" i="1" s="1"/>
  <c r="D592" i="1"/>
  <c r="D585" i="1"/>
  <c r="F585" i="1" s="1"/>
  <c r="D575" i="1"/>
  <c r="F575" i="1" s="1"/>
  <c r="D568" i="1"/>
  <c r="F568" i="1" s="1"/>
  <c r="D537" i="1"/>
  <c r="F537" i="1" s="1"/>
  <c r="D513" i="1"/>
  <c r="F513" i="1" s="1"/>
  <c r="D499" i="1"/>
  <c r="F499" i="1" s="1"/>
  <c r="D489" i="1"/>
  <c r="F489" i="1" s="1"/>
  <c r="D477" i="1"/>
  <c r="F477" i="1" s="1"/>
  <c r="D470" i="1"/>
  <c r="F470" i="1" s="1"/>
  <c r="D463" i="1"/>
  <c r="D453" i="1"/>
  <c r="F453" i="1" s="1"/>
  <c r="D446" i="1"/>
  <c r="F446" i="1" s="1"/>
  <c r="D439" i="1"/>
  <c r="F439" i="1" s="1"/>
  <c r="D429" i="1"/>
  <c r="D422" i="1"/>
  <c r="F422" i="1" s="1"/>
  <c r="D415" i="1"/>
  <c r="F415" i="1" s="1"/>
  <c r="F405" i="1"/>
  <c r="D388" i="1"/>
  <c r="F388" i="1" s="1"/>
  <c r="D397" i="1"/>
  <c r="F397" i="1" s="1"/>
  <c r="D393" i="1"/>
  <c r="F393" i="1" s="1"/>
  <c r="D378" i="1"/>
  <c r="F378" i="1" s="1"/>
  <c r="D371" i="1"/>
  <c r="F371" i="1" s="1"/>
  <c r="D364" i="1"/>
  <c r="F364" i="1" s="1"/>
  <c r="D357" i="1"/>
  <c r="F357" i="1" s="1"/>
  <c r="D353" i="1"/>
  <c r="F353" i="1" s="1"/>
  <c r="D346" i="1"/>
  <c r="F346" i="1" s="1"/>
  <c r="D339" i="1"/>
  <c r="F339" i="1" s="1"/>
  <c r="D332" i="1"/>
  <c r="F332" i="1" s="1"/>
  <c r="D325" i="1"/>
  <c r="F325" i="1" s="1"/>
  <c r="D321" i="1"/>
  <c r="F321" i="1" s="1"/>
  <c r="D314" i="1"/>
  <c r="F314" i="1" s="1"/>
  <c r="D307" i="1"/>
  <c r="F307" i="1" s="1"/>
  <c r="D300" i="1"/>
  <c r="F300" i="1" s="1"/>
  <c r="D289" i="1"/>
  <c r="F289" i="1" s="1"/>
  <c r="D285" i="1"/>
  <c r="F285" i="1" s="1"/>
  <c r="D283" i="1"/>
  <c r="F283" i="1" s="1"/>
  <c r="D278" i="1"/>
  <c r="F278" i="1" s="1"/>
  <c r="D276" i="1"/>
  <c r="F276" i="1" s="1"/>
  <c r="D271" i="1"/>
  <c r="F271" i="1" s="1"/>
  <c r="D269" i="1"/>
  <c r="F269" i="1" s="1"/>
  <c r="D267" i="1"/>
  <c r="F267" i="1" s="1"/>
  <c r="D257" i="1"/>
  <c r="F257" i="1" s="1"/>
  <c r="D255" i="1"/>
  <c r="F255" i="1" s="1"/>
  <c r="D253" i="1"/>
  <c r="F253" i="1" s="1"/>
  <c r="D243" i="1"/>
  <c r="F243" i="1" s="1"/>
  <c r="D241" i="1"/>
  <c r="F241" i="1" s="1"/>
  <c r="D239" i="1"/>
  <c r="F239" i="1" s="1"/>
  <c r="D229" i="1"/>
  <c r="F229" i="1" s="1"/>
  <c r="D227" i="1"/>
  <c r="F227" i="1" s="1"/>
  <c r="D225" i="1"/>
  <c r="D220" i="1"/>
  <c r="F220" i="1" s="1"/>
  <c r="D218" i="1"/>
  <c r="F218" i="1" s="1"/>
  <c r="D209" i="1"/>
  <c r="F209" i="1" s="1"/>
  <c r="D206" i="1"/>
  <c r="F206" i="1" s="1"/>
  <c r="D204" i="1"/>
  <c r="F204" i="1" s="1"/>
  <c r="B845" i="1"/>
  <c r="M145" i="1"/>
  <c r="M142" i="1"/>
  <c r="E309" i="1"/>
  <c r="E307" i="1"/>
  <c r="E305" i="1"/>
  <c r="C308" i="1"/>
  <c r="C306" i="1"/>
  <c r="E306" i="1"/>
  <c r="C309" i="1"/>
  <c r="C305" i="1"/>
  <c r="E308" i="1"/>
  <c r="C307" i="1"/>
  <c r="F519" i="1"/>
  <c r="F559" i="1"/>
  <c r="C254" i="1"/>
  <c r="F837" i="1"/>
  <c r="F831" i="1"/>
  <c r="A631" i="1"/>
  <c r="A607" i="1"/>
  <c r="A625" i="1"/>
  <c r="A637" i="1"/>
  <c r="A613" i="1"/>
  <c r="A619" i="1"/>
  <c r="L31" i="1"/>
  <c r="H31" i="1"/>
  <c r="I29" i="1"/>
  <c r="J31" i="1"/>
  <c r="K29" i="1"/>
  <c r="K31" i="1"/>
  <c r="L29" i="1"/>
  <c r="H29" i="1"/>
  <c r="I31" i="1"/>
  <c r="J29" i="1"/>
  <c r="E844" i="1"/>
  <c r="E843" i="1"/>
  <c r="C844" i="1"/>
  <c r="C843" i="1"/>
  <c r="D810" i="1"/>
  <c r="F810" i="1" s="1"/>
  <c r="D758" i="1"/>
  <c r="F758" i="1" s="1"/>
  <c r="D719" i="1"/>
  <c r="F719" i="1" s="1"/>
  <c r="F553" i="1"/>
  <c r="E559" i="1"/>
  <c r="C553" i="1"/>
  <c r="E537" i="1"/>
  <c r="C531" i="1"/>
  <c r="E525" i="1"/>
  <c r="E519" i="1"/>
  <c r="E513" i="1"/>
  <c r="C559" i="1"/>
  <c r="E553" i="1"/>
  <c r="C537" i="1"/>
  <c r="E531" i="1"/>
  <c r="C525" i="1"/>
  <c r="C519" i="1"/>
  <c r="C513" i="1"/>
  <c r="F365" i="1"/>
  <c r="F361" i="1"/>
  <c r="F373" i="1"/>
  <c r="F457" i="1"/>
  <c r="F440" i="1"/>
  <c r="F423" i="1"/>
  <c r="F451" i="1"/>
  <c r="F433" i="1"/>
  <c r="E324" i="1"/>
  <c r="E322" i="1"/>
  <c r="C325" i="1"/>
  <c r="C324" i="1"/>
  <c r="C323" i="1"/>
  <c r="C322" i="1"/>
  <c r="C321" i="1"/>
  <c r="E279" i="1"/>
  <c r="E277" i="1"/>
  <c r="E275" i="1"/>
  <c r="C278" i="1"/>
  <c r="C276" i="1"/>
  <c r="E356" i="1"/>
  <c r="C356" i="1"/>
  <c r="E354" i="1"/>
  <c r="C354" i="1"/>
  <c r="E364" i="1"/>
  <c r="C364" i="1"/>
  <c r="E362" i="1"/>
  <c r="C362" i="1"/>
  <c r="E301" i="1"/>
  <c r="C301" i="1"/>
  <c r="E299" i="1"/>
  <c r="C299" i="1"/>
  <c r="E297" i="1"/>
  <c r="C297" i="1"/>
  <c r="E349" i="1"/>
  <c r="C349" i="1"/>
  <c r="E347" i="1"/>
  <c r="C347" i="1"/>
  <c r="E345" i="1"/>
  <c r="C345" i="1"/>
  <c r="E267" i="1"/>
  <c r="E221" i="1"/>
  <c r="C221" i="1"/>
  <c r="E219" i="1"/>
  <c r="C219" i="1"/>
  <c r="E217" i="1"/>
  <c r="E325" i="1"/>
  <c r="E323" i="1"/>
  <c r="E321" i="1"/>
  <c r="E278" i="1"/>
  <c r="E276" i="1"/>
  <c r="C279" i="1"/>
  <c r="C277" i="1"/>
  <c r="C275" i="1"/>
  <c r="E357" i="1"/>
  <c r="C357" i="1"/>
  <c r="E355" i="1"/>
  <c r="C355" i="1"/>
  <c r="E353" i="1"/>
  <c r="C353" i="1"/>
  <c r="E365" i="1"/>
  <c r="C365" i="1"/>
  <c r="E363" i="1"/>
  <c r="C363" i="1"/>
  <c r="E361" i="1"/>
  <c r="C361" i="1"/>
  <c r="E300" i="1"/>
  <c r="C300" i="1"/>
  <c r="E298" i="1"/>
  <c r="C298" i="1"/>
  <c r="E348" i="1"/>
  <c r="C348" i="1"/>
  <c r="E346" i="1"/>
  <c r="C346" i="1"/>
  <c r="C267" i="1"/>
  <c r="E220" i="1"/>
  <c r="E218" i="1"/>
  <c r="E476" i="1"/>
  <c r="C476" i="1"/>
  <c r="E389" i="1"/>
  <c r="C389" i="1"/>
  <c r="E387" i="1"/>
  <c r="C387" i="1"/>
  <c r="E385" i="1"/>
  <c r="C385" i="1"/>
  <c r="E396" i="1"/>
  <c r="C396" i="1"/>
  <c r="E394" i="1"/>
  <c r="C394" i="1"/>
  <c r="E381" i="1"/>
  <c r="C381" i="1"/>
  <c r="E379" i="1"/>
  <c r="C379" i="1"/>
  <c r="E377" i="1"/>
  <c r="C377" i="1"/>
  <c r="E373" i="1"/>
  <c r="E371" i="1"/>
  <c r="E369" i="1"/>
  <c r="E317" i="1"/>
  <c r="C317" i="1"/>
  <c r="E315" i="1"/>
  <c r="C315" i="1"/>
  <c r="E313" i="1"/>
  <c r="C313" i="1"/>
  <c r="E270" i="1"/>
  <c r="C270" i="1"/>
  <c r="E268" i="1"/>
  <c r="C268" i="1"/>
  <c r="E340" i="1"/>
  <c r="C340" i="1"/>
  <c r="E338" i="1"/>
  <c r="C338" i="1"/>
  <c r="E332" i="1"/>
  <c r="E330" i="1"/>
  <c r="C220" i="1"/>
  <c r="C218" i="1"/>
  <c r="C217" i="1"/>
  <c r="E479" i="1"/>
  <c r="C479" i="1"/>
  <c r="E477" i="1"/>
  <c r="C477" i="1"/>
  <c r="E475" i="1"/>
  <c r="C475" i="1"/>
  <c r="E388" i="1"/>
  <c r="C388" i="1"/>
  <c r="E386" i="1"/>
  <c r="C386" i="1"/>
  <c r="E397" i="1"/>
  <c r="C397" i="1"/>
  <c r="E395" i="1"/>
  <c r="C395" i="1"/>
  <c r="E393" i="1"/>
  <c r="C393" i="1"/>
  <c r="E380" i="1"/>
  <c r="C380" i="1"/>
  <c r="E378" i="1"/>
  <c r="C378" i="1"/>
  <c r="E372" i="1"/>
  <c r="E370" i="1"/>
  <c r="C373" i="1"/>
  <c r="C372" i="1"/>
  <c r="C371" i="1"/>
  <c r="C370" i="1"/>
  <c r="C369" i="1"/>
  <c r="E316" i="1"/>
  <c r="C316" i="1"/>
  <c r="E314" i="1"/>
  <c r="C314" i="1"/>
  <c r="E271" i="1"/>
  <c r="C271" i="1"/>
  <c r="E269" i="1"/>
  <c r="C269" i="1"/>
  <c r="E341" i="1"/>
  <c r="C341" i="1"/>
  <c r="E339" i="1"/>
  <c r="C339" i="1"/>
  <c r="E337" i="1"/>
  <c r="C337" i="1"/>
  <c r="E333" i="1"/>
  <c r="E331" i="1"/>
  <c r="E329" i="1"/>
  <c r="C333" i="1"/>
  <c r="E423" i="1"/>
  <c r="C423" i="1"/>
  <c r="E421" i="1"/>
  <c r="C421" i="1"/>
  <c r="E458" i="1"/>
  <c r="C458" i="1"/>
  <c r="E453" i="1"/>
  <c r="C453" i="1"/>
  <c r="E451" i="1"/>
  <c r="C451" i="1"/>
  <c r="E447" i="1"/>
  <c r="C447" i="1"/>
  <c r="E445" i="1"/>
  <c r="C445" i="1"/>
  <c r="E441" i="1"/>
  <c r="E439" i="1"/>
  <c r="E435" i="1"/>
  <c r="C435" i="1"/>
  <c r="E433" i="1"/>
  <c r="C433" i="1"/>
  <c r="E409" i="1"/>
  <c r="E416" i="1"/>
  <c r="C416" i="1"/>
  <c r="C332" i="1"/>
  <c r="C331" i="1"/>
  <c r="C330" i="1"/>
  <c r="C329" i="1"/>
  <c r="E422" i="1"/>
  <c r="C422" i="1"/>
  <c r="E459" i="1"/>
  <c r="C459" i="1"/>
  <c r="E457" i="1"/>
  <c r="C457" i="1"/>
  <c r="E452" i="1"/>
  <c r="C452" i="1"/>
  <c r="E446" i="1"/>
  <c r="C446" i="1"/>
  <c r="E440" i="1"/>
  <c r="C441" i="1"/>
  <c r="C440" i="1"/>
  <c r="C439" i="1"/>
  <c r="E434" i="1"/>
  <c r="C434" i="1"/>
  <c r="E417" i="1"/>
  <c r="C417" i="1"/>
  <c r="E415" i="1"/>
  <c r="C415" i="1"/>
  <c r="F429" i="1"/>
  <c r="F487" i="1"/>
  <c r="F463" i="1"/>
  <c r="F403" i="1"/>
  <c r="F284" i="1"/>
  <c r="F225" i="1"/>
  <c r="F409" i="1"/>
  <c r="F471" i="1"/>
  <c r="F464" i="1"/>
  <c r="F493" i="1"/>
  <c r="F500" i="1"/>
  <c r="F242" i="1"/>
  <c r="D797" i="1"/>
  <c r="F797" i="1" s="1"/>
  <c r="D732" i="1"/>
  <c r="F732" i="1" s="1"/>
  <c r="E471" i="1"/>
  <c r="E469" i="1"/>
  <c r="E411" i="1"/>
  <c r="C411" i="1"/>
  <c r="C409" i="1"/>
  <c r="E428" i="1"/>
  <c r="C428" i="1"/>
  <c r="E488" i="1"/>
  <c r="C489" i="1"/>
  <c r="C487" i="1"/>
  <c r="C471" i="1"/>
  <c r="C470" i="1"/>
  <c r="C469" i="1"/>
  <c r="E465" i="1"/>
  <c r="E463" i="1"/>
  <c r="C464" i="1"/>
  <c r="C405" i="1"/>
  <c r="C403" i="1"/>
  <c r="E495" i="1"/>
  <c r="E493" i="1"/>
  <c r="E404" i="1"/>
  <c r="C495" i="1"/>
  <c r="C493" i="1"/>
  <c r="E503" i="1"/>
  <c r="E500" i="1"/>
  <c r="C503" i="1"/>
  <c r="C500" i="1"/>
  <c r="E245" i="1"/>
  <c r="E242" i="1"/>
  <c r="E240" i="1"/>
  <c r="E470" i="1"/>
  <c r="E410" i="1"/>
  <c r="C410" i="1"/>
  <c r="E429" i="1"/>
  <c r="C429" i="1"/>
  <c r="E427" i="1"/>
  <c r="C427" i="1"/>
  <c r="E489" i="1"/>
  <c r="E487" i="1"/>
  <c r="C488" i="1"/>
  <c r="E464" i="1"/>
  <c r="C465" i="1"/>
  <c r="C463" i="1"/>
  <c r="C404" i="1"/>
  <c r="E494" i="1"/>
  <c r="E405" i="1"/>
  <c r="E403" i="1"/>
  <c r="C494" i="1"/>
  <c r="E501" i="1"/>
  <c r="E499" i="1"/>
  <c r="C501" i="1"/>
  <c r="C499" i="1"/>
  <c r="E243" i="1"/>
  <c r="E241" i="1"/>
  <c r="E239" i="1"/>
  <c r="C289" i="1"/>
  <c r="E286" i="1"/>
  <c r="C286" i="1"/>
  <c r="E284" i="1"/>
  <c r="C284" i="1"/>
  <c r="E257" i="1"/>
  <c r="E255" i="1"/>
  <c r="E253" i="1"/>
  <c r="C257" i="1"/>
  <c r="C255" i="1"/>
  <c r="C253" i="1"/>
  <c r="C243" i="1"/>
  <c r="C241" i="1"/>
  <c r="C239" i="1"/>
  <c r="E810" i="1"/>
  <c r="E231" i="1"/>
  <c r="E228" i="1"/>
  <c r="E226" i="1"/>
  <c r="C231" i="1"/>
  <c r="C228" i="1"/>
  <c r="C226" i="1"/>
  <c r="E206" i="1"/>
  <c r="E204" i="1"/>
  <c r="C207" i="1"/>
  <c r="C205" i="1"/>
  <c r="C203" i="1"/>
  <c r="E209" i="1"/>
  <c r="C209" i="1"/>
  <c r="C719" i="1"/>
  <c r="C797" i="1"/>
  <c r="E797" i="1"/>
  <c r="E289" i="1"/>
  <c r="E287" i="1"/>
  <c r="C287" i="1"/>
  <c r="E285" i="1"/>
  <c r="C285" i="1"/>
  <c r="E283" i="1"/>
  <c r="C283" i="1"/>
  <c r="E259" i="1"/>
  <c r="E256" i="1"/>
  <c r="E254" i="1"/>
  <c r="C259" i="1"/>
  <c r="C256" i="1"/>
  <c r="C245" i="1"/>
  <c r="C242" i="1"/>
  <c r="C240" i="1"/>
  <c r="E227" i="1"/>
  <c r="E229" i="1"/>
  <c r="E225" i="1"/>
  <c r="C229" i="1"/>
  <c r="C227" i="1"/>
  <c r="C225" i="1"/>
  <c r="E205" i="1"/>
  <c r="E207" i="1"/>
  <c r="E203" i="1"/>
  <c r="C206" i="1"/>
  <c r="C204" i="1"/>
  <c r="E719" i="1"/>
  <c r="E758" i="1"/>
  <c r="E784" i="1"/>
  <c r="E693" i="1"/>
  <c r="E706" i="1"/>
  <c r="E667" i="1"/>
  <c r="E651" i="1"/>
  <c r="E644" i="1"/>
  <c r="E642" i="1"/>
  <c r="E635" i="1"/>
  <c r="E623" i="1"/>
  <c r="E611" i="1"/>
  <c r="E599" i="1"/>
  <c r="E597" i="1"/>
  <c r="E592" i="1"/>
  <c r="E587" i="1"/>
  <c r="E585" i="1"/>
  <c r="E580" i="1"/>
  <c r="E575" i="1"/>
  <c r="E573" i="1"/>
  <c r="E568" i="1"/>
  <c r="C810" i="1"/>
  <c r="C732" i="1"/>
  <c r="C771" i="1"/>
  <c r="C745" i="1"/>
  <c r="C675" i="1"/>
  <c r="C659" i="1"/>
  <c r="C645" i="1"/>
  <c r="C643" i="1"/>
  <c r="C641" i="1"/>
  <c r="C629" i="1"/>
  <c r="C617" i="1"/>
  <c r="C605" i="1"/>
  <c r="C598" i="1"/>
  <c r="C593" i="1"/>
  <c r="C586" i="1"/>
  <c r="C581" i="1"/>
  <c r="C579" i="1"/>
  <c r="C574" i="1"/>
  <c r="C569" i="1"/>
  <c r="C567" i="1"/>
  <c r="E732" i="1"/>
  <c r="E771" i="1"/>
  <c r="E745" i="1"/>
  <c r="E675" i="1"/>
  <c r="E659" i="1"/>
  <c r="E645" i="1"/>
  <c r="E643" i="1"/>
  <c r="E641" i="1"/>
  <c r="E629" i="1"/>
  <c r="E617" i="1"/>
  <c r="E605" i="1"/>
  <c r="E598" i="1"/>
  <c r="E593" i="1"/>
  <c r="E591" i="1"/>
  <c r="E586" i="1"/>
  <c r="E581" i="1"/>
  <c r="E579" i="1"/>
  <c r="E574" i="1"/>
  <c r="E569" i="1"/>
  <c r="E567" i="1"/>
  <c r="C758" i="1"/>
  <c r="C784" i="1"/>
  <c r="C693" i="1"/>
  <c r="C706" i="1"/>
  <c r="C667" i="1"/>
  <c r="C651" i="1"/>
  <c r="C644" i="1"/>
  <c r="C642" i="1"/>
  <c r="C635" i="1"/>
  <c r="C623" i="1"/>
  <c r="C611" i="1"/>
  <c r="C599" i="1"/>
  <c r="C597" i="1"/>
  <c r="C592" i="1"/>
  <c r="C587" i="1"/>
  <c r="C585" i="1"/>
  <c r="C580" i="1"/>
  <c r="C575" i="1"/>
  <c r="C573" i="1"/>
  <c r="C568" i="1"/>
  <c r="F651" i="1"/>
  <c r="F635" i="1"/>
  <c r="F592" i="1"/>
  <c r="F643" i="1"/>
  <c r="F593" i="1"/>
  <c r="F579" i="1"/>
  <c r="H645" i="1"/>
  <c r="I16" i="1"/>
  <c r="N153" i="1"/>
  <c r="N152" i="1"/>
  <c r="N127" i="1"/>
  <c r="N126" i="1"/>
  <c r="D146" i="1"/>
  <c r="B146" i="1" s="1"/>
  <c r="D167" i="1"/>
  <c r="B167" i="1" s="1"/>
  <c r="D143" i="1"/>
  <c r="D193" i="1"/>
  <c r="D189" i="1"/>
  <c r="D185" i="1"/>
  <c r="D176" i="1"/>
  <c r="B176" i="1" s="1"/>
  <c r="N131" i="1"/>
  <c r="N130" i="1"/>
  <c r="N135" i="1"/>
  <c r="N129" i="1"/>
  <c r="N132" i="1"/>
  <c r="N134" i="1"/>
  <c r="N137" i="1"/>
  <c r="D174" i="1"/>
  <c r="D149" i="1"/>
  <c r="B149" i="1" s="1"/>
  <c r="D151" i="1"/>
  <c r="B151" i="1" s="1"/>
  <c r="D155" i="1"/>
  <c r="B155" i="1" s="1"/>
  <c r="D157" i="1"/>
  <c r="B157" i="1" s="1"/>
  <c r="D161" i="1"/>
  <c r="B161" i="1" s="1"/>
  <c r="D168" i="1"/>
  <c r="B168" i="1" s="1"/>
  <c r="D170" i="1"/>
  <c r="B170" i="1" s="1"/>
  <c r="D183" i="1"/>
  <c r="D187" i="1"/>
  <c r="D191" i="1"/>
  <c r="D172" i="1"/>
  <c r="B172" i="1" s="1"/>
  <c r="D180" i="1"/>
  <c r="B180" i="1" s="1"/>
  <c r="D182" i="1"/>
  <c r="B182" i="1" s="1"/>
  <c r="D184" i="1"/>
  <c r="B184" i="1" s="1"/>
  <c r="D188" i="1"/>
  <c r="D192" i="1"/>
  <c r="D145" i="1"/>
  <c r="B145" i="1" s="1"/>
  <c r="D150" i="1"/>
  <c r="B150" i="1" s="1"/>
  <c r="D152" i="1"/>
  <c r="B152" i="1" s="1"/>
  <c r="D154" i="1"/>
  <c r="B154" i="1" s="1"/>
  <c r="D156" i="1"/>
  <c r="B156" i="1" s="1"/>
  <c r="D158" i="1"/>
  <c r="B158" i="1" s="1"/>
  <c r="D165" i="1"/>
  <c r="B165" i="1" s="1"/>
  <c r="D169" i="1"/>
  <c r="B169" i="1" s="1"/>
  <c r="D175" i="1"/>
  <c r="B175" i="1" s="1"/>
  <c r="D196" i="1"/>
  <c r="B196" i="1" s="1"/>
  <c r="D186" i="1"/>
  <c r="D190" i="1"/>
  <c r="D153" i="1"/>
  <c r="B153" i="1" s="1"/>
  <c r="D159" i="1"/>
  <c r="B159" i="1" s="1"/>
  <c r="D166" i="1"/>
  <c r="B166" i="1" s="1"/>
  <c r="D177" i="1"/>
  <c r="B177" i="1" s="1"/>
  <c r="D171" i="1"/>
  <c r="B171" i="1" s="1"/>
  <c r="D178" i="1"/>
  <c r="B178" i="1" s="1"/>
  <c r="D194" i="1"/>
  <c r="B194" i="1" s="1"/>
  <c r="D197" i="1"/>
  <c r="B197" i="1" s="1"/>
  <c r="B8" i="1"/>
  <c r="D173" i="1"/>
  <c r="B173" i="1" s="1"/>
  <c r="D141" i="1"/>
  <c r="B141" i="1" s="1"/>
  <c r="D144" i="1"/>
  <c r="D148" i="1"/>
  <c r="B148" i="1" s="1"/>
  <c r="D160" i="1"/>
  <c r="B160" i="1" s="1"/>
  <c r="G111" i="1"/>
  <c r="H98" i="1"/>
  <c r="H101" i="1" s="1"/>
  <c r="D163" i="1"/>
  <c r="B163" i="1" s="1"/>
  <c r="D142" i="1"/>
  <c r="D181" i="1"/>
  <c r="B181" i="1" s="1"/>
  <c r="D162" i="1"/>
  <c r="B162" i="1" s="1"/>
  <c r="D179" i="1"/>
  <c r="B179" i="1" s="1"/>
  <c r="B5" i="1"/>
  <c r="D195" i="1"/>
  <c r="B195" i="1" s="1"/>
  <c r="D164" i="1"/>
  <c r="B164" i="1" s="1"/>
  <c r="G110" i="1"/>
  <c r="B843" i="1" l="1"/>
  <c r="B837" i="1"/>
  <c r="B831" i="1"/>
  <c r="B15" i="1"/>
  <c r="C23" i="1"/>
  <c r="C20" i="1"/>
  <c r="D24" i="1"/>
  <c r="D21" i="1"/>
  <c r="D19" i="1"/>
  <c r="E24" i="1"/>
  <c r="E21" i="1"/>
  <c r="E19" i="1"/>
  <c r="B24" i="1"/>
  <c r="B21" i="1"/>
  <c r="B19" i="1"/>
  <c r="C24" i="1"/>
  <c r="C21" i="1"/>
  <c r="C19" i="1"/>
  <c r="D23" i="1"/>
  <c r="D20" i="1"/>
  <c r="E23" i="1"/>
  <c r="E20" i="1"/>
  <c r="C15" i="1"/>
  <c r="B23" i="1"/>
  <c r="B20" i="1"/>
  <c r="B827" i="1"/>
  <c r="B825" i="1"/>
  <c r="B823" i="1"/>
  <c r="B818" i="1"/>
  <c r="B816" i="1"/>
  <c r="B814" i="1"/>
  <c r="B812" i="1"/>
  <c r="B810" i="1"/>
  <c r="B805" i="1"/>
  <c r="B803" i="1"/>
  <c r="B801" i="1"/>
  <c r="B799" i="1"/>
  <c r="B797" i="1"/>
  <c r="B792" i="1"/>
  <c r="B790" i="1"/>
  <c r="B788" i="1"/>
  <c r="B786" i="1"/>
  <c r="B784" i="1"/>
  <c r="B779" i="1"/>
  <c r="B777" i="1"/>
  <c r="B775" i="1"/>
  <c r="B773" i="1"/>
  <c r="B771" i="1"/>
  <c r="B766" i="1"/>
  <c r="B764" i="1"/>
  <c r="B762" i="1"/>
  <c r="B760" i="1"/>
  <c r="B758" i="1"/>
  <c r="B753" i="1"/>
  <c r="B751" i="1"/>
  <c r="B749" i="1"/>
  <c r="B747" i="1"/>
  <c r="B745" i="1"/>
  <c r="B740" i="1"/>
  <c r="B738" i="1"/>
  <c r="B736" i="1"/>
  <c r="B734" i="1"/>
  <c r="B732" i="1"/>
  <c r="B727" i="1"/>
  <c r="B725" i="1"/>
  <c r="B723" i="1"/>
  <c r="B721" i="1"/>
  <c r="B719" i="1"/>
  <c r="B714" i="1"/>
  <c r="B712" i="1"/>
  <c r="B710" i="1"/>
  <c r="B708" i="1"/>
  <c r="B706" i="1"/>
  <c r="B701" i="1"/>
  <c r="B699" i="1"/>
  <c r="B697" i="1"/>
  <c r="B695" i="1"/>
  <c r="B693" i="1"/>
  <c r="B686" i="1"/>
  <c r="B684" i="1"/>
  <c r="B679" i="1"/>
  <c r="B677" i="1"/>
  <c r="B675" i="1"/>
  <c r="B670" i="1"/>
  <c r="B668" i="1"/>
  <c r="B663" i="1"/>
  <c r="B661" i="1"/>
  <c r="B659" i="1"/>
  <c r="B654" i="1"/>
  <c r="B652" i="1"/>
  <c r="B643" i="1"/>
  <c r="B641" i="1"/>
  <c r="B629" i="1"/>
  <c r="B617" i="1"/>
  <c r="B605" i="1"/>
  <c r="B598" i="1"/>
  <c r="B591" i="1"/>
  <c r="B586" i="1"/>
  <c r="B579" i="1"/>
  <c r="B574" i="1"/>
  <c r="B567" i="1"/>
  <c r="B553" i="1"/>
  <c r="B537" i="1"/>
  <c r="B525" i="1"/>
  <c r="B826" i="1"/>
  <c r="B824" i="1"/>
  <c r="B819" i="1"/>
  <c r="B817" i="1"/>
  <c r="B815" i="1"/>
  <c r="B813" i="1"/>
  <c r="B811" i="1"/>
  <c r="B806" i="1"/>
  <c r="B804" i="1"/>
  <c r="B802" i="1"/>
  <c r="B800" i="1"/>
  <c r="B798" i="1"/>
  <c r="B793" i="1"/>
  <c r="B791" i="1"/>
  <c r="B789" i="1"/>
  <c r="B787" i="1"/>
  <c r="B785" i="1"/>
  <c r="B780" i="1"/>
  <c r="B778" i="1"/>
  <c r="B776" i="1"/>
  <c r="B774" i="1"/>
  <c r="B772" i="1"/>
  <c r="B767" i="1"/>
  <c r="B765" i="1"/>
  <c r="B763" i="1"/>
  <c r="B761" i="1"/>
  <c r="B759" i="1"/>
  <c r="B754" i="1"/>
  <c r="B752" i="1"/>
  <c r="B750" i="1"/>
  <c r="B748" i="1"/>
  <c r="B746" i="1"/>
  <c r="B741" i="1"/>
  <c r="B739" i="1"/>
  <c r="B737" i="1"/>
  <c r="B735" i="1"/>
  <c r="B733" i="1"/>
  <c r="B728" i="1"/>
  <c r="B726" i="1"/>
  <c r="B724" i="1"/>
  <c r="B722" i="1"/>
  <c r="B720" i="1"/>
  <c r="B715" i="1"/>
  <c r="B713" i="1"/>
  <c r="B711" i="1"/>
  <c r="B709" i="1"/>
  <c r="B707" i="1"/>
  <c r="B702" i="1"/>
  <c r="B700" i="1"/>
  <c r="B698" i="1"/>
  <c r="B696" i="1"/>
  <c r="B694" i="1"/>
  <c r="B687" i="1"/>
  <c r="B685" i="1"/>
  <c r="B683" i="1"/>
  <c r="B678" i="1"/>
  <c r="B676" i="1"/>
  <c r="B671" i="1"/>
  <c r="B669" i="1"/>
  <c r="B667" i="1"/>
  <c r="B662" i="1"/>
  <c r="B660" i="1"/>
  <c r="B655" i="1"/>
  <c r="B653" i="1"/>
  <c r="B651" i="1"/>
  <c r="B644" i="1"/>
  <c r="B642" i="1"/>
  <c r="B635" i="1"/>
  <c r="B623" i="1"/>
  <c r="B611" i="1"/>
  <c r="B597" i="1"/>
  <c r="B592" i="1"/>
  <c r="B585" i="1"/>
  <c r="B580" i="1"/>
  <c r="B573" i="1"/>
  <c r="B568" i="1"/>
  <c r="B559" i="1"/>
  <c r="B543" i="1"/>
  <c r="B531" i="1"/>
  <c r="B519" i="1"/>
  <c r="B513" i="1"/>
  <c r="B506" i="1"/>
  <c r="B504" i="1"/>
  <c r="B499" i="1"/>
  <c r="B494" i="1"/>
  <c r="B487" i="1"/>
  <c r="B482" i="1"/>
  <c r="B480" i="1"/>
  <c r="B475" i="1"/>
  <c r="B470" i="1"/>
  <c r="B463" i="1"/>
  <c r="B458" i="1"/>
  <c r="B451" i="1"/>
  <c r="B446" i="1"/>
  <c r="B439" i="1"/>
  <c r="B434" i="1"/>
  <c r="B415" i="1"/>
  <c r="B410" i="1"/>
  <c r="B396" i="1"/>
  <c r="B394" i="1"/>
  <c r="B387" i="1"/>
  <c r="B385" i="1"/>
  <c r="B380" i="1"/>
  <c r="B378" i="1"/>
  <c r="B371" i="1"/>
  <c r="B369" i="1"/>
  <c r="B364" i="1"/>
  <c r="B362" i="1"/>
  <c r="B355" i="1"/>
  <c r="B353" i="1"/>
  <c r="B348" i="1"/>
  <c r="B346" i="1"/>
  <c r="B339" i="1"/>
  <c r="B337" i="1"/>
  <c r="B332" i="1"/>
  <c r="B330" i="1"/>
  <c r="B323" i="1"/>
  <c r="B321" i="1"/>
  <c r="B316" i="1"/>
  <c r="B314" i="1"/>
  <c r="B307" i="1"/>
  <c r="B305" i="1"/>
  <c r="B300" i="1"/>
  <c r="B298" i="1"/>
  <c r="B293" i="1"/>
  <c r="B291" i="1"/>
  <c r="B289" i="1"/>
  <c r="B286" i="1"/>
  <c r="B284" i="1"/>
  <c r="B277" i="1"/>
  <c r="B275" i="1"/>
  <c r="B270" i="1"/>
  <c r="B268" i="1"/>
  <c r="B263" i="1"/>
  <c r="B261" i="1"/>
  <c r="B259" i="1"/>
  <c r="B256" i="1"/>
  <c r="B254" i="1"/>
  <c r="B249" i="1"/>
  <c r="B247" i="1"/>
  <c r="B245" i="1"/>
  <c r="B242" i="1"/>
  <c r="B240" i="1"/>
  <c r="B235" i="1"/>
  <c r="B233" i="1"/>
  <c r="B231" i="1"/>
  <c r="B228" i="1"/>
  <c r="B226" i="1"/>
  <c r="B507" i="1"/>
  <c r="B505" i="1"/>
  <c r="B503" i="1"/>
  <c r="B500" i="1"/>
  <c r="B493" i="1"/>
  <c r="B488" i="1"/>
  <c r="B483" i="1"/>
  <c r="B481" i="1"/>
  <c r="B479" i="1"/>
  <c r="B476" i="1"/>
  <c r="B469" i="1"/>
  <c r="B464" i="1"/>
  <c r="B457" i="1"/>
  <c r="B452" i="1"/>
  <c r="B445" i="1"/>
  <c r="B440" i="1"/>
  <c r="B433" i="1"/>
  <c r="B416" i="1"/>
  <c r="B409" i="1"/>
  <c r="B395" i="1"/>
  <c r="B393" i="1"/>
  <c r="B388" i="1"/>
  <c r="B386" i="1"/>
  <c r="B379" i="1"/>
  <c r="B377" i="1"/>
  <c r="B372" i="1"/>
  <c r="B370" i="1"/>
  <c r="B363" i="1"/>
  <c r="B361" i="1"/>
  <c r="B356" i="1"/>
  <c r="B354" i="1"/>
  <c r="B347" i="1"/>
  <c r="B345" i="1"/>
  <c r="B340" i="1"/>
  <c r="B338" i="1"/>
  <c r="B331" i="1"/>
  <c r="B329" i="1"/>
  <c r="B324" i="1"/>
  <c r="B322" i="1"/>
  <c r="B315" i="1"/>
  <c r="B313" i="1"/>
  <c r="B308" i="1"/>
  <c r="B306" i="1"/>
  <c r="B299" i="1"/>
  <c r="B297" i="1"/>
  <c r="B292" i="1"/>
  <c r="B290" i="1"/>
  <c r="B285" i="1"/>
  <c r="B283" i="1"/>
  <c r="B278" i="1"/>
  <c r="B276" i="1"/>
  <c r="B269" i="1"/>
  <c r="B267" i="1"/>
  <c r="B262" i="1"/>
  <c r="B260" i="1"/>
  <c r="B255" i="1"/>
  <c r="B253" i="1"/>
  <c r="B248" i="1"/>
  <c r="B246" i="1"/>
  <c r="B243" i="1"/>
  <c r="B241" i="1"/>
  <c r="B239" i="1"/>
  <c r="B234" i="1"/>
  <c r="B232" i="1"/>
  <c r="B227" i="1"/>
  <c r="B219" i="1"/>
  <c r="B217" i="1"/>
  <c r="B212" i="1"/>
  <c r="B210" i="1"/>
  <c r="B205" i="1"/>
  <c r="B203" i="1"/>
  <c r="B211" i="1"/>
  <c r="B206" i="1"/>
  <c r="B225" i="1"/>
  <c r="B220" i="1"/>
  <c r="B218" i="1"/>
  <c r="B213" i="1"/>
  <c r="B209" i="1"/>
  <c r="B204" i="1"/>
  <c r="B22" i="1"/>
  <c r="C22" i="1"/>
  <c r="B14" i="1"/>
  <c r="C14" i="1"/>
  <c r="C16" i="1"/>
  <c r="B16" i="1"/>
  <c r="D22" i="1"/>
  <c r="E22" i="1"/>
  <c r="H103" i="1"/>
  <c r="H105" i="1" s="1"/>
</calcChain>
</file>

<file path=xl/sharedStrings.xml><?xml version="1.0" encoding="utf-8"?>
<sst xmlns="http://schemas.openxmlformats.org/spreadsheetml/2006/main" count="1782" uniqueCount="439">
  <si>
    <t>Perushyökkäyshyvitys</t>
  </si>
  <si>
    <t>Hyökkäys</t>
  </si>
  <si>
    <t>Vauriot</t>
  </si>
  <si>
    <t>Vauriohyvitys</t>
  </si>
  <si>
    <t>Väkihyökkäys</t>
  </si>
  <si>
    <t>Normaali</t>
  </si>
  <si>
    <t>Valmistautumaton</t>
  </si>
  <si>
    <t>Haarniskahyvitys</t>
  </si>
  <si>
    <t>Kaksin käsin</t>
  </si>
  <si>
    <t>Salahyökkäys</t>
  </si>
  <si>
    <t>PERUSTIEDOT</t>
  </si>
  <si>
    <t>VALTIT</t>
  </si>
  <si>
    <t>PANSSARILUOKKAMUUNTIMET</t>
  </si>
  <si>
    <t>Kilpihyvitys</t>
  </si>
  <si>
    <t>Kokomuunnin</t>
  </si>
  <si>
    <t>Sivuunohjaushyvitys</t>
  </si>
  <si>
    <t>Muu muunnin</t>
  </si>
  <si>
    <t>Kantamahyökkäyksen kohde on lähitaistelussa (–4)</t>
  </si>
  <si>
    <t>Kehopanssarihyvitys</t>
  </si>
  <si>
    <t>Sinulla on näkösuojaa (20 %)</t>
  </si>
  <si>
    <t>Sinulla on suojaa (+4)</t>
  </si>
  <si>
    <t>Kohteella on näkösuojaa (20 %)</t>
  </si>
  <si>
    <t>Nopea aloite</t>
  </si>
  <si>
    <t>Aloitemuunnin</t>
  </si>
  <si>
    <t>Painimuunnin</t>
  </si>
  <si>
    <t>Olet koukannut vihollisen (+2)</t>
  </si>
  <si>
    <t>Olet ahtautunut kapeaan tilaan (–4)</t>
  </si>
  <si>
    <t>Olet kumossa (–4)</t>
  </si>
  <si>
    <t>Häränvoima</t>
  </si>
  <si>
    <t>Karhunsitkeys</t>
  </si>
  <si>
    <t>Ketteryys</t>
  </si>
  <si>
    <t>Voimakkuus</t>
  </si>
  <si>
    <t>Ruumiinkunto</t>
  </si>
  <si>
    <t>Sitkeys</t>
  </si>
  <si>
    <t>Refleksi</t>
  </si>
  <si>
    <t>Tahto</t>
  </si>
  <si>
    <t>Viisaus</t>
  </si>
  <si>
    <t>Älykkyys</t>
  </si>
  <si>
    <t>Karisma</t>
  </si>
  <si>
    <t>Kykysakko</t>
  </si>
  <si>
    <t>Kykyvauriot</t>
  </si>
  <si>
    <t>Kyvynriisto</t>
  </si>
  <si>
    <t>Alkuperäiset</t>
  </si>
  <si>
    <t>Nykyiset</t>
  </si>
  <si>
    <t>KYKYARVOT</t>
  </si>
  <si>
    <t>Ohihyökkäys</t>
  </si>
  <si>
    <t>Negatiivisista tasoista</t>
  </si>
  <si>
    <t>Kokoluokka</t>
  </si>
  <si>
    <t>Nopeus</t>
  </si>
  <si>
    <t>Tila/ulottuma</t>
  </si>
  <si>
    <t>Ruumiinkunto-lisäyksestä</t>
  </si>
  <si>
    <t>Lisäysten, sakkojen ym. jälkeen</t>
  </si>
  <si>
    <t>TAIDOT</t>
  </si>
  <si>
    <t>Aikeen aavistus</t>
  </si>
  <si>
    <t>Akrobatia</t>
  </si>
  <si>
    <t>Arvon arviointi</t>
  </si>
  <si>
    <t>Diplomatia</t>
  </si>
  <si>
    <t>Eläintenkäsittely</t>
  </si>
  <si>
    <t>Esiintyminen (hauskuutus)</t>
  </si>
  <si>
    <t>Esiintyminen (jousi- ja kielisoittimet)</t>
  </si>
  <si>
    <t>Esiintyminen (kosketinsoittimet)</t>
  </si>
  <si>
    <t>Esiintyminen (laulu)</t>
  </si>
  <si>
    <t>Esiintyminen (lausunta)</t>
  </si>
  <si>
    <t>Esiintyminen (lyömäsoittimet)</t>
  </si>
  <si>
    <t>Esiintyminen (puhallinsoittimet)</t>
  </si>
  <si>
    <t>Esiintyminen (tanssi)</t>
  </si>
  <si>
    <t>Esiintyminen (teatteri)</t>
  </si>
  <si>
    <t>Esiintyminen ( _ )</t>
  </si>
  <si>
    <t>Ammatti ( _ )</t>
  </si>
  <si>
    <t>Etsintä</t>
  </si>
  <si>
    <t>Havainnointi</t>
  </si>
  <si>
    <t>Hämäys</t>
  </si>
  <si>
    <t>Kahlekuninkuus</t>
  </si>
  <si>
    <t>Keskittyminen</t>
  </si>
  <si>
    <t>Kiipeily</t>
  </si>
  <si>
    <t>Kirjoituksen tulkinta</t>
  </si>
  <si>
    <t>Kovistelu</t>
  </si>
  <si>
    <t>Kuuntelu</t>
  </si>
  <si>
    <t>Köydenkäyttö</t>
  </si>
  <si>
    <t>Laitteen purkaminen</t>
  </si>
  <si>
    <t>Loikkaus</t>
  </si>
  <si>
    <t>Loitsutuntemus</t>
  </si>
  <si>
    <t>Naamioituminen</t>
  </si>
  <si>
    <t>Parannus</t>
  </si>
  <si>
    <t>Piiloutuminen</t>
  </si>
  <si>
    <t>Ratsastus</t>
  </si>
  <si>
    <t>Silmänkääntö</t>
  </si>
  <si>
    <t>Taikaesineen käyttö</t>
  </si>
  <si>
    <t>Tasapainoilu</t>
  </si>
  <si>
    <t>Tiedonkeruu</t>
  </si>
  <si>
    <t>Tietämys (historia)</t>
  </si>
  <si>
    <t>Tietämys (luolastot)</t>
  </si>
  <si>
    <t>Tietämys (luonto)</t>
  </si>
  <si>
    <t>Tietämys (maantieto)</t>
  </si>
  <si>
    <t>Tietämys (paikallistieto)</t>
  </si>
  <si>
    <t>Tietämys (salatieto)</t>
  </si>
  <si>
    <t>Tietämys (sfäärit)</t>
  </si>
  <si>
    <t>Tietämys (uskonto)</t>
  </si>
  <si>
    <t>Tietämys (ylimykset ja kuninkaalliset)</t>
  </si>
  <si>
    <t>Tietämys ( _ )</t>
  </si>
  <si>
    <t>Tiirikointi</t>
  </si>
  <si>
    <t>Uinti</t>
  </si>
  <si>
    <t>Väärennys</t>
  </si>
  <si>
    <t>Äänetön liike</t>
  </si>
  <si>
    <t>Eränkäynti</t>
  </si>
  <si>
    <t>Tasoja</t>
  </si>
  <si>
    <t>Taitomuunnin</t>
  </si>
  <si>
    <t>Kykymuunnin</t>
  </si>
  <si>
    <t>Sokaistunut</t>
  </si>
  <si>
    <t>Olet kumossa (–4 lähitaistelu, +4 kantama)</t>
  </si>
  <si>
    <t>PANSSARILUOKKA</t>
  </si>
  <si>
    <t>TILANNEKOHTAISET PANSSARILUOKKAMUUNTIMET</t>
  </si>
  <si>
    <t>TILANNEKOHTAISET HYÖKKÄYSHEITTOMUUNTIMET</t>
  </si>
  <si>
    <t>Olet korkeammassa maastonkohdassa (+1)</t>
  </si>
  <si>
    <t>Kohde täyd. näkösuojassa tai näkymätön (50 %)</t>
  </si>
  <si>
    <t>Sidonnassa</t>
  </si>
  <si>
    <t>Puolustuskyvytön</t>
  </si>
  <si>
    <t>OLOTILAT</t>
  </si>
  <si>
    <t>Haltioitunut (–4 Havainnointi, Kuuntelu)</t>
  </si>
  <si>
    <t>Häikäistynyt (–1 hyökkäykset, Etsintä, Havainnointi)</t>
  </si>
  <si>
    <t>Kuuroutunut (–4 aloite)</t>
  </si>
  <si>
    <t>Lamaantunut tai kauhun kangistama</t>
  </si>
  <si>
    <t>Näännyksissä (puolinopeus, –6 Voimakkus, Ketteryys)</t>
  </si>
  <si>
    <t>Pakokauhuinen (–2 laistot, taito- ja kykytestit)</t>
  </si>
  <si>
    <t>Uupunut (–2 Voimakkuus, Ketteryys)</t>
  </si>
  <si>
    <t>Näkymätön hyökkääjä</t>
  </si>
  <si>
    <t>Heikkovointinen (–1 laistot, kyky- ja taitotestit)</t>
  </si>
  <si>
    <t>Hädissään (–2 hyökkäykset, laistot, kyky- ja taitotestit)</t>
  </si>
  <si>
    <t>Olotilojen panssariluokkia</t>
  </si>
  <si>
    <t>Kosketus lähit.</t>
  </si>
  <si>
    <t>Rotuhyvitys</t>
  </si>
  <si>
    <t>LUONNOLLINEN PARANEMINEN</t>
  </si>
  <si>
    <t>8 tuntia unta</t>
  </si>
  <si>
    <t>24 tuntia vuodelevossa</t>
  </si>
  <si>
    <t>Kuolettavat vauriot</t>
  </si>
  <si>
    <t>Tainnuttavat vauriot</t>
  </si>
  <si>
    <t>Säikähtänyt (–2 hyökkäykset, laistot, kyky- ja taitotestit)</t>
  </si>
  <si>
    <t>Juoksu (raskas)</t>
  </si>
  <si>
    <t>Juoksu (kevyt/keskiraskas)</t>
  </si>
  <si>
    <t>Tilannekohtaiset muuntimet</t>
  </si>
  <si>
    <t>NOPEUDET</t>
  </si>
  <si>
    <t>Kävely</t>
  </si>
  <si>
    <t>1 liikkumistoiminto</t>
  </si>
  <si>
    <t>Kiiruhtaminen</t>
  </si>
  <si>
    <t>Tunnissa</t>
  </si>
  <si>
    <t>Hyökkääjä on näkymätön</t>
  </si>
  <si>
    <t>Olet täydellisessä näkösuojassa (50 %)</t>
  </si>
  <si>
    <t>Suoritat rynnäkön (+2 hyökkäys, –2 PL)</t>
  </si>
  <si>
    <t>Näkymätön (+2 hyökkäyksiin, ohihyökkäys 50 %)</t>
  </si>
  <si>
    <t>Takerruksissa (–2 hyökkäykset, –4 Ketteryys)</t>
  </si>
  <si>
    <t>Jähmetetty (Voimakkuus ja Ketteryys 0)</t>
  </si>
  <si>
    <t>Sokaistunut (ohihyökkäys 50 %, ei Ket PL, –4 Etsintä)</t>
  </si>
  <si>
    <t>Lamaantunut (–2 PL, ei Ket PL)</t>
  </si>
  <si>
    <t>Painissa (ei Ket PL)</t>
  </si>
  <si>
    <t>Painissa (kantamah. kohde arvotaan)</t>
  </si>
  <si>
    <t>Olet polvillasi tai istuallasi (–2 lähit, +2 kant)</t>
  </si>
  <si>
    <t>Kosketus kant.</t>
  </si>
  <si>
    <t>Vaellusliikkuminen (virstoja tunnissa)</t>
  </si>
  <si>
    <t>Vaellusliikkuminen (virstoja päivässä)</t>
  </si>
  <si>
    <t>Normaali täysi kestopistemäärä</t>
  </si>
  <si>
    <t>Kauhun kangistama (–2 PL, ei Ket PL)</t>
  </si>
  <si>
    <t>Sidonnassa (-4 PL)</t>
  </si>
  <si>
    <t>Tilapäiset kestopisteet (hupenevat ensin)</t>
  </si>
  <si>
    <t>KESTOPISTEET</t>
  </si>
  <si>
    <t>Kissannnotkeus</t>
  </si>
  <si>
    <t>Kotkanloisto</t>
  </si>
  <si>
    <t>Ketunviekkaus</t>
  </si>
  <si>
    <t>Pöllönviisaus</t>
  </si>
  <si>
    <t>Ruk-sakoista, Ruk-vaurioista, Ruk-riistosta</t>
  </si>
  <si>
    <t>LAISTOHEITOT</t>
  </si>
  <si>
    <t>Hämärtävä usva</t>
  </si>
  <si>
    <t>Laiston VA</t>
  </si>
  <si>
    <t>Sumupilvi</t>
  </si>
  <si>
    <t>Langettajataso</t>
  </si>
  <si>
    <t>Konkarinaskel</t>
  </si>
  <si>
    <t>Taisteluvimma</t>
  </si>
  <si>
    <t>Aavistusväistö</t>
  </si>
  <si>
    <t>Väkevä taisteluvimma</t>
  </si>
  <si>
    <t>Silmitön taisteluvimma</t>
  </si>
  <si>
    <t>Valioase</t>
  </si>
  <si>
    <t>Väistelyhyvitys</t>
  </si>
  <si>
    <t>Rohkeuden valaminen</t>
  </si>
  <si>
    <t>Lähiammunta</t>
  </si>
  <si>
    <t>Mainetekojen innoitus</t>
  </si>
  <si>
    <t>Sankaritekojen innoitus</t>
  </si>
  <si>
    <t>Avitus</t>
  </si>
  <si>
    <t>Siunaus</t>
  </si>
  <si>
    <t>Väikyntä</t>
  </si>
  <si>
    <t>Jumalvoima</t>
  </si>
  <si>
    <t>Vahva toivo</t>
  </si>
  <si>
    <t>Nopeutus</t>
  </si>
  <si>
    <t>Sankarien pidot</t>
  </si>
  <si>
    <t>Sankaruus</t>
  </si>
  <si>
    <t>Sankaruus, väkevä</t>
  </si>
  <si>
    <t>Ennaltanäkemisen lahja</t>
  </si>
  <si>
    <t>Rukous (liittolaisen)</t>
  </si>
  <si>
    <t>Rukous (vihollisen)</t>
  </si>
  <si>
    <t>Soturius</t>
  </si>
  <si>
    <t>Kiro</t>
  </si>
  <si>
    <t>Hidastus</t>
  </si>
  <si>
    <t>Lähitaistelu</t>
  </si>
  <si>
    <t>Kantama</t>
  </si>
  <si>
    <t>Esiinloihdinnan tehostus</t>
  </si>
  <si>
    <t>Parkkinahka</t>
  </si>
  <si>
    <t>Maaginhaarniska</t>
  </si>
  <si>
    <t>Taikasotisopa</t>
  </si>
  <si>
    <t>Kahdella aseella taistelu</t>
  </si>
  <si>
    <t>Puolustuskannalla taistelu (–4 hyökkäys, +2 PL)</t>
  </si>
  <si>
    <t>Taistelunhallinta</t>
  </si>
  <si>
    <t>Harjaantunut kahdella aseella taistelu</t>
  </si>
  <si>
    <t>Väkevä kahdella aseella taistelu</t>
  </si>
  <si>
    <t>Harjaantunut paini</t>
  </si>
  <si>
    <t>Juoksu</t>
  </si>
  <si>
    <t>Sokkotaistelu</t>
  </si>
  <si>
    <t>Käännytystesti</t>
  </si>
  <si>
    <t>2n6+</t>
  </si>
  <si>
    <t>Käännytysvauriot</t>
  </si>
  <si>
    <t>Yrityksiä päivässä</t>
  </si>
  <si>
    <t>1n20+</t>
  </si>
  <si>
    <t>Yhdellä kädellä</t>
  </si>
  <si>
    <t>AsKes</t>
  </si>
  <si>
    <t>AsErik</t>
  </si>
  <si>
    <t>Vahva AsKes</t>
  </si>
  <si>
    <t>Vahva AsErik</t>
  </si>
  <si>
    <t>Muu hyök+-</t>
  </si>
  <si>
    <t>Muu vaurio+-</t>
  </si>
  <si>
    <t>Pikalataus</t>
  </si>
  <si>
    <t>Kaukoammunta</t>
  </si>
  <si>
    <t>Vma-lukema</t>
  </si>
  <si>
    <t>Kriittiset</t>
  </si>
  <si>
    <t>Lisäkäännytys</t>
  </si>
  <si>
    <t>Luokkataso</t>
  </si>
  <si>
    <t>Sarjahyökkäys</t>
  </si>
  <si>
    <t>Säteen nimi</t>
  </si>
  <si>
    <t>KAKSOISASEET</t>
  </si>
  <si>
    <t>Koukkupäinen maahisvasara</t>
  </si>
  <si>
    <t>Kaksin käsin (V)</t>
  </si>
  <si>
    <t>Druidinsauva</t>
  </si>
  <si>
    <t>Hyökkäyksen nimi</t>
  </si>
  <si>
    <t>ULOTTUMA-ASEET</t>
  </si>
  <si>
    <t>Ulottuma</t>
  </si>
  <si>
    <t>HEITTOASEET</t>
  </si>
  <si>
    <t>Taikuus+</t>
  </si>
  <si>
    <t>Verkko</t>
  </si>
  <si>
    <t>–</t>
  </si>
  <si>
    <t>AMMUSASEET</t>
  </si>
  <si>
    <t>Yhdellä käd.</t>
  </si>
  <si>
    <t>Mol. käsissä</t>
  </si>
  <si>
    <t>YHDEN KÄDEN LÄHITAISTELUASEET</t>
  </si>
  <si>
    <t>KEVYET LÄHITAISTELUASEET</t>
  </si>
  <si>
    <t>Heittoaseena</t>
  </si>
  <si>
    <t>Kevyt kilpi (×2, R)</t>
  </si>
  <si>
    <t>Kaksipäinen miekka (19–20/×2, V)</t>
  </si>
  <si>
    <t>Kaksipäinen varsta (19–20/×2, R)</t>
  </si>
  <si>
    <t>Kaksin käsin (×3, R)</t>
  </si>
  <si>
    <t>Kääpiöurgrossi (×3)</t>
  </si>
  <si>
    <t>Taistelusauva (×2, R)</t>
  </si>
  <si>
    <t>Örkkien kaksoiskirves (×3, V)</t>
  </si>
  <si>
    <t>Glaivi (×3, V)</t>
  </si>
  <si>
    <t>Guisarme (×3, V)</t>
  </si>
  <si>
    <t>Peitsi (×3, P)</t>
  </si>
  <si>
    <t>Piikkiketju (×2, P)</t>
  </si>
  <si>
    <t>Pitkäkeihäs (×3, P)</t>
  </si>
  <si>
    <t>Ranseur (×3, P)</t>
  </si>
  <si>
    <t>Ruoska (×2, V)</t>
  </si>
  <si>
    <t>Bola (×2, R)</t>
  </si>
  <si>
    <t>Heittokeihäs (×2, P)</t>
  </si>
  <si>
    <t>Heittonuoli (×2, P)</t>
  </si>
  <si>
    <t>Šuriken (×2, P)</t>
  </si>
  <si>
    <t>Kevyt varsijousi (19–20/×2, P)</t>
  </si>
  <si>
    <t>Pienoisvarsijousi (19–20/×2, P)</t>
  </si>
  <si>
    <t>Kevyt lippaallinen varsijousi (19–20/×2, P)</t>
  </si>
  <si>
    <t>Raskas lippaallinen varsijousi (19–20/×2, P)</t>
  </si>
  <si>
    <t>Raskas varsijousi (19–20/×2, P)</t>
  </si>
  <si>
    <t>Lyhytjousi (×3, P)</t>
  </si>
  <si>
    <t>Pitkäjousi (×3, P)</t>
  </si>
  <si>
    <t>Yhdistelmäpitkäjousi (×3, P)</t>
  </si>
  <si>
    <t>Yhdistelmälyhytjousi (×3, P)</t>
  </si>
  <si>
    <t>Linko (×2, R)</t>
  </si>
  <si>
    <t>Heittokirves (×2, V)</t>
  </si>
  <si>
    <t>Kevyt vasara (×2, R)</t>
  </si>
  <si>
    <t>Kolmikärki (×2, P)</t>
  </si>
  <si>
    <t>Kurikka (×2, R)</t>
  </si>
  <si>
    <t>Lyhytkeihäs (×2, P)</t>
  </si>
  <si>
    <t>Tikari (19–20/×2, P/V)</t>
  </si>
  <si>
    <t>Aseeton isku (×2, R)</t>
  </si>
  <si>
    <t>Taisteluhansikas (×2, R)</t>
  </si>
  <si>
    <t>Piikkitaisteluhansikas (×2, P)</t>
  </si>
  <si>
    <t>Rystystikari (×3, P)</t>
  </si>
  <si>
    <t>Sirppi (×2, V)</t>
  </si>
  <si>
    <t>Kevyt sotanuija (×2, R)</t>
  </si>
  <si>
    <t>Kevyt hakku (×4, P)</t>
  </si>
  <si>
    <t>Kukri (18–20/×2, V)</t>
  </si>
  <si>
    <t>Käsikirves (×3, V)</t>
  </si>
  <si>
    <t>Lyhytmiekka (19–20/×2, V)</t>
  </si>
  <si>
    <t>Säteet (×2)</t>
  </si>
  <si>
    <t>Pamppu (×2, R)</t>
  </si>
  <si>
    <t>Piikkihaarniska (×2, P)</t>
  </si>
  <si>
    <t>Kevyt piikkikilpi (×2, P)</t>
  </si>
  <si>
    <t>Raskas hakku (×4, P)</t>
  </si>
  <si>
    <t>Raskas kilpi (×2, R)</t>
  </si>
  <si>
    <t>Käyräsapeli (18–20/×2, V)</t>
  </si>
  <si>
    <t>Raskas piikkikilpi (×2, P)</t>
  </si>
  <si>
    <t>Pitkämiekka (19–20/×2, V)</t>
  </si>
  <si>
    <t>Sotakirves (×3, V)</t>
  </si>
  <si>
    <t>Sotavasara (×3, R)</t>
  </si>
  <si>
    <t>Varsta (×2, R)</t>
  </si>
  <si>
    <t>Säilä (18–20/×2, P)</t>
  </si>
  <si>
    <t>Sai (×2, R)</t>
  </si>
  <si>
    <t>Kama (×2, V)</t>
  </si>
  <si>
    <t>Nuntšaku (×2, R)</t>
  </si>
  <si>
    <t>Siangham (×2, P)</t>
  </si>
  <si>
    <t>Piikkinuija (×2, R+P)</t>
  </si>
  <si>
    <t>Raskas sotanuija (×2, R)</t>
  </si>
  <si>
    <t>Kääpiötappara (×3, R)</t>
  </si>
  <si>
    <t>Puolentoista käden miekka (19–20/×2, V)</t>
  </si>
  <si>
    <t>KAHDEN KÄDEN LÄHITAISTELUASEET</t>
  </si>
  <si>
    <t>Hilpari (×3, P/V)</t>
  </si>
  <si>
    <t>Kahden käden kirves (×3, V)</t>
  </si>
  <si>
    <t>Kahden käden kurikka (×2, R)</t>
  </si>
  <si>
    <t>Kahden käden miekka (19–20/×2, V)</t>
  </si>
  <si>
    <t>Kahden käden käyräsapeli (18–20/×2, V)</t>
  </si>
  <si>
    <t>Raskas varsta (19–20/×2, V)</t>
  </si>
  <si>
    <t>Viikate (×4, P/V)</t>
  </si>
  <si>
    <t>Ensisijainen kehoase (×2)</t>
  </si>
  <si>
    <t>Toissijainen kehoase (×2)</t>
  </si>
  <si>
    <t>Kyky</t>
  </si>
  <si>
    <t>Kaksoisaseena (vahvempi käsi)</t>
  </si>
  <si>
    <t>Kaksoisaseena (vahvempi käsi, ×3, R)</t>
  </si>
  <si>
    <t>Kaksoisaseena (vahvempi käsi, V)</t>
  </si>
  <si>
    <t>Kaksoisaseena (heikompi käsi)</t>
  </si>
  <si>
    <t>Kaksoisaseena (heikompi käsi, ×4, P)</t>
  </si>
  <si>
    <t>Kaksoisaseena (heikompi käsi, P)</t>
  </si>
  <si>
    <t>KYKYTESTIT</t>
  </si>
  <si>
    <t>Muunnin</t>
  </si>
  <si>
    <t>Muu +-</t>
  </si>
  <si>
    <t>ERIKOISKYVYT</t>
  </si>
  <si>
    <t>HYÖKKÄYKSET</t>
  </si>
  <si>
    <t>LOITSUT</t>
  </si>
  <si>
    <t>Taikatorahammas</t>
  </si>
  <si>
    <t>Taikatorahammas, väkevä</t>
  </si>
  <si>
    <t>Negatiivisia tasoja</t>
  </si>
  <si>
    <t>Käsityöläisyys ( _ )</t>
  </si>
  <si>
    <t>Munkin aseeton isku (×2, R)</t>
  </si>
  <si>
    <t>Iskusade</t>
  </si>
  <si>
    <t>Munkkitaso</t>
  </si>
  <si>
    <t>Asetaituruus</t>
  </si>
  <si>
    <t>LOITSUNSIEDON LÄPÄISY</t>
  </si>
  <si>
    <t>1n20 +</t>
  </si>
  <si>
    <t>LANGETTAJATASOTESTIT</t>
  </si>
  <si>
    <t>Eläinymmärrys</t>
  </si>
  <si>
    <t>Huolellisuus</t>
  </si>
  <si>
    <t>Itsellisyys</t>
  </si>
  <si>
    <t>Jaksavuus</t>
  </si>
  <si>
    <t>Haarniskasakko</t>
  </si>
  <si>
    <t>Jäntevyys</t>
  </si>
  <si>
    <t>Kehonhallinta</t>
  </si>
  <si>
    <t>Lamauttavan nyrkin laiston vaikeusaste</t>
  </si>
  <si>
    <t>Läpäisijäloitsu</t>
  </si>
  <si>
    <t>Väkevä läpäisijäloitsu</t>
  </si>
  <si>
    <t>Neuvottelijanluonto</t>
  </si>
  <si>
    <t>Notkeus</t>
  </si>
  <si>
    <t>Pikaveto</t>
  </si>
  <si>
    <t>Salavihkaisuus</t>
  </si>
  <si>
    <t>Sorminäppäryys</t>
  </si>
  <si>
    <t>Taikuudenlahjat</t>
  </si>
  <si>
    <t>Tutkijanluonto</t>
  </si>
  <si>
    <t>Vakuuttavuus</t>
  </si>
  <si>
    <t>Valppaus</t>
  </si>
  <si>
    <t>Vilpillisyys</t>
  </si>
  <si>
    <t>Varmakätisyys</t>
  </si>
  <si>
    <t>Hahmotaso (kestonoppamäärä)</t>
  </si>
  <si>
    <t>Täyspuolustus (+4 PL, ei hyökkäyksiä)</t>
  </si>
  <si>
    <t>Tämä laskentataulukko on tarkoitettu käytettäväksi Lohikäärmeen Luolan taisteluissa ja muussa olentoja koskevassa kirjanpidossa.</t>
  </si>
  <si>
    <t>Taulukko laskee valinnan aiheuttamat muutokset olennon tietoihin.</t>
  </si>
  <si>
    <t>Munkin aseettoman iskun tiedot on laskettu vain 14. munkkitasolle asti (kaavojen merkkimäärän yläraja tuli vastaan).</t>
  </si>
  <si>
    <t>Vallitseva kestopistemäärä</t>
  </si>
  <si>
    <t>Jumalsuosio</t>
  </si>
  <si>
    <t>Keskikokoinen</t>
  </si>
  <si>
    <t>x</t>
  </si>
  <si>
    <t>© Seppo Raudaskoski 2020</t>
  </si>
  <si>
    <t>Kuolettavien ja tainnuttavien vaurioiden erotus</t>
  </si>
  <si>
    <t>Giganttinen</t>
  </si>
  <si>
    <t>Suunnaton</t>
  </si>
  <si>
    <t>Iso</t>
  </si>
  <si>
    <t>Ihmisolion suurennus</t>
  </si>
  <si>
    <t>Eläinten suurennus</t>
  </si>
  <si>
    <t>Eläimen/ihmisolion kutistus</t>
  </si>
  <si>
    <t>Kykyarvojen vaikutukset on laskettu 51:een asti ja perushyökkäyshyvityksen vaikutukset 20:een asti.</t>
  </si>
  <si>
    <t>EPÄKUOLLEIDEN KÄÄNNYTYS JA OJENNUS</t>
  </si>
  <si>
    <t>Kevyt taakka</t>
  </si>
  <si>
    <t>Keskiraskas taakka</t>
  </si>
  <si>
    <t>Raskas taakka</t>
  </si>
  <si>
    <t>Työntäminen ja raahaaminen</t>
  </si>
  <si>
    <t>Pieni</t>
  </si>
  <si>
    <t>Minimaalinen</t>
  </si>
  <si>
    <t>Taskukokoinen</t>
  </si>
  <si>
    <t>Hyvin pieni</t>
  </si>
  <si>
    <t>Valtava</t>
  </si>
  <si>
    <t>Nelijalkaiset olennot</t>
  </si>
  <si>
    <t>Nostaminen pään yläpuolelle</t>
  </si>
  <si>
    <t>Nostaminen maasta</t>
  </si>
  <si>
    <t>Taktinen liikkuminen (jalkoja kierroksessa)</t>
  </si>
  <si>
    <t>Paikallisliikkuminen (jalkoja minuutissa)</t>
  </si>
  <si>
    <t>VIHOLLISTEN LAISTOHEITTOJEN VAIKEUSASTE LOITSUJASI VASTAAN</t>
  </si>
  <si>
    <t>1n6</t>
  </si>
  <si>
    <t>2n6</t>
  </si>
  <si>
    <t>3n6</t>
  </si>
  <si>
    <t>4n6</t>
  </si>
  <si>
    <t>5n6</t>
  </si>
  <si>
    <t>6n6</t>
  </si>
  <si>
    <t>7n6</t>
  </si>
  <si>
    <t>8n6</t>
  </si>
  <si>
    <t>9n6</t>
  </si>
  <si>
    <t>10n6</t>
  </si>
  <si>
    <t>Kun haluat merkitä jonkin tummansinisen solun valituksi, lisää soluun "x".</t>
  </si>
  <si>
    <t>TAAKAT (ylärajat)</t>
  </si>
  <si>
    <t>Kuolettavat vauriot yhteensä</t>
  </si>
  <si>
    <t>Tainnuttavat vauriot yhteensä</t>
  </si>
  <si>
    <t>Älä koske valkoisiin soluihin. Useimmissa niistä on laskukaavoja. Älä koske myöskään Valikot-välilehteen.</t>
  </si>
  <si>
    <t>Kun haluat lisätä olennolle jonkin hyökkäyksen, etsi haluamasi ase taulukon lopussa olevasta aseluettelosta ja kopioi ase HYÖKKÄYKSET-osioon</t>
  </si>
  <si>
    <t>(siirrä soluosoitin haluamasi aseen kohdalle, paina CTRL+A, CTRL+C, siirrä sitten soluosoitin HYÖKKÄYKSET-osioon ja paina lopuksi CTRL+V).</t>
  </si>
  <si>
    <t>Taulukko sisältää JOS.JOUKKO (IFS) -funktioita, joten se ei toimi vuotta 2016 edeltävissä Excelin versioissa.</t>
  </si>
  <si>
    <t>Kosketushyökkäys</t>
  </si>
  <si>
    <t>Kilpi</t>
  </si>
  <si>
    <t>Tietämys (arkkitehtuuri ja rakentaminen)</t>
  </si>
  <si>
    <t>Keihäs (×3, P)</t>
  </si>
  <si>
    <t>Loitsusi taso</t>
  </si>
  <si>
    <t>Vahva koulukunta</t>
  </si>
  <si>
    <t>Valitse olennon kokoluokka (Minimaalinen, Taskukokoinen, Hyvin pieni, Pieni, Keskikokoinen, Iso, Valtava, Suunnaton tai Giganttinen).</t>
  </si>
  <si>
    <t>Lisää vaaleansinisiin soluihin olennon tietojen mukaiset luvut. Ne vaikuttavat muualla taulukossa pelin sääntöjen mukaisesti.</t>
  </si>
  <si>
    <t>Jos olennolla on Lähiammunta-valtti, lisää olennon aseen tietoihin "x" kohtaan "Lähiammunta" aina, kun hyökkäys suoritetaan enintään 30 jalan päästä.</t>
  </si>
  <si>
    <t>Ehdolliset muuntimet</t>
  </si>
  <si>
    <t>Vaikutusten tuottamia ehdollisia laistoheittomuuntimia (esimerkiksi "+1 laistoheittoihin pelkoja vastaan") ei ole laskettu taulukkoon;</t>
  </si>
  <si>
    <t>voit halutessasi kirjoittaa ne muistiin Laistoheitot-osion kohtaan "Ehdolliset muuntimet".</t>
  </si>
  <si>
    <t>Toisena aseena (vahvemmassa kädessä)</t>
  </si>
  <si>
    <t>Toisena aseena (heikommassa kädessä)</t>
  </si>
  <si>
    <t>Toisena aseena (vahv. kädessä + 1k)</t>
  </si>
  <si>
    <t>Toisena aseena (vahv. kädessä + kevyt)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</si>
</sst>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2"/>
      <color theme="1"/>
      <name val="Calibri"/>
      <family val="2"/>
      <scheme val="minor"/>
    </font>
    <font>
      <sz val="12"/>
      <color rgb="FFFF0000"/>
      <name val="Calibri"/>
      <family val="2"/>
      <scheme val="minor"/>
    </font>
    <font>
      <b/>
      <sz val="12"/>
      <color theme="1"/>
      <name val="Calibri"/>
      <family val="2"/>
      <scheme val="minor"/>
    </font>
    <font>
      <u/>
      <sz val="12"/>
      <color theme="10"/>
      <name val="Calibri"/>
      <family val="2"/>
      <scheme val="minor"/>
    </font>
    <font>
      <u/>
      <sz val="12"/>
      <color theme="11"/>
      <name val="Calibri"/>
      <family val="2"/>
      <scheme val="minor"/>
    </font>
    <font>
      <sz val="12"/>
      <color theme="3"/>
      <name val="Calibri"/>
      <family val="2"/>
      <scheme val="minor"/>
    </font>
    <font>
      <sz val="12"/>
      <color theme="1" tint="0.499984740745262"/>
      <name val="Calibri"/>
      <family val="2"/>
      <scheme val="minor"/>
    </font>
    <font>
      <sz val="12"/>
      <color rgb="FF000000"/>
      <name val="Calibri"/>
      <family val="2"/>
      <scheme val="minor"/>
    </font>
    <font>
      <sz val="12"/>
      <name val="Calibri"/>
      <family val="2"/>
      <scheme val="minor"/>
    </font>
    <font>
      <i/>
      <sz val="12"/>
      <color theme="1"/>
      <name val="Calibri"/>
      <family val="2"/>
      <scheme val="minor"/>
    </font>
    <font>
      <b/>
      <sz val="12"/>
      <name val="Calibri"/>
      <family val="2"/>
      <scheme val="minor"/>
    </font>
    <font>
      <b/>
      <i/>
      <sz val="12"/>
      <color theme="1"/>
      <name val="Calibri"/>
      <family val="2"/>
      <scheme val="minor"/>
    </font>
    <font>
      <sz val="8"/>
      <name val="Calibri"/>
      <family val="2"/>
      <scheme val="minor"/>
    </font>
    <font>
      <sz val="12"/>
      <color theme="3" tint="0.39997558519241921"/>
      <name val="Calibri"/>
      <family val="2"/>
      <scheme val="minor"/>
    </font>
    <font>
      <b/>
      <sz val="12"/>
      <color rgb="FF000000"/>
      <name val="Calibri"/>
      <family val="2"/>
      <scheme val="minor"/>
    </font>
    <font>
      <i/>
      <sz val="12"/>
      <color rgb="FF000000"/>
      <name val="Calibri"/>
      <family val="2"/>
      <scheme val="minor"/>
    </font>
    <font>
      <sz val="12"/>
      <color rgb="FF1F497D"/>
      <name val="Calibri"/>
      <family val="2"/>
      <scheme val="minor"/>
    </font>
    <font>
      <sz val="12"/>
      <color rgb="FF538DD5"/>
      <name val="Calibri"/>
      <family val="2"/>
      <scheme val="minor"/>
    </font>
    <font>
      <i/>
      <sz val="12"/>
      <name val="Calibri"/>
      <family val="2"/>
      <scheme val="minor"/>
    </font>
    <font>
      <b/>
      <sz val="20"/>
      <color theme="1"/>
      <name val="Calibri"/>
      <family val="2"/>
      <scheme val="minor"/>
    </font>
    <font>
      <sz val="20"/>
      <color theme="1"/>
      <name val="Calibri"/>
      <family val="2"/>
      <scheme val="minor"/>
    </font>
    <font>
      <i/>
      <sz val="12"/>
      <color theme="0" tint="-0.249977111117893"/>
      <name val="Calibri"/>
      <family val="2"/>
      <scheme val="minor"/>
    </font>
    <font>
      <sz val="12"/>
      <color theme="0" tint="-0.249977111117893"/>
      <name val="Calibri"/>
      <family val="2"/>
      <scheme val="minor"/>
    </font>
    <font>
      <b/>
      <i/>
      <sz val="12"/>
      <color theme="0" tint="-0.249977111117893"/>
      <name val="Calibri"/>
      <family val="2"/>
      <scheme val="minor"/>
    </font>
    <font>
      <b/>
      <u/>
      <sz val="12"/>
      <color theme="10"/>
      <name val="Calibri"/>
      <family val="2"/>
      <scheme val="minor"/>
    </font>
    <font>
      <b/>
      <i/>
      <u/>
      <sz val="12"/>
      <color theme="10"/>
      <name val="Calibri"/>
      <family val="2"/>
      <scheme val="minor"/>
    </font>
    <font>
      <i/>
      <u/>
      <sz val="12"/>
      <color theme="10"/>
      <name val="Calibri"/>
      <family val="2"/>
      <scheme val="minor"/>
    </font>
  </fonts>
  <fills count="4">
    <fill>
      <patternFill patternType="none"/>
    </fill>
    <fill>
      <patternFill patternType="gray125"/>
    </fill>
    <fill>
      <patternFill patternType="solid">
        <fgColor theme="3" tint="0.79998168889431442"/>
        <bgColor indexed="64"/>
      </patternFill>
    </fill>
    <fill>
      <patternFill patternType="solid">
        <fgColor theme="8" tint="0.79998168889431442"/>
        <bgColor indexed="64"/>
      </patternFill>
    </fill>
  </fills>
  <borders count="4">
    <border>
      <left/>
      <right/>
      <top/>
      <bottom/>
      <diagonal/>
    </border>
    <border>
      <left/>
      <right/>
      <top style="thin">
        <color auto="1"/>
      </top>
      <bottom/>
      <diagonal/>
    </border>
    <border>
      <left/>
      <right/>
      <top/>
      <bottom style="thin">
        <color indexed="64"/>
      </bottom>
      <diagonal/>
    </border>
    <border>
      <left/>
      <right/>
      <top style="thin">
        <color indexed="64"/>
      </top>
      <bottom style="thin">
        <color indexed="64"/>
      </bottom>
      <diagonal/>
    </border>
  </borders>
  <cellStyleXfs count="450">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cellStyleXfs>
  <cellXfs count="167">
    <xf numFmtId="0" fontId="0" fillId="0" borderId="0" xfId="0"/>
    <xf numFmtId="0" fontId="0" fillId="0" borderId="0" xfId="0" applyAlignment="1">
      <alignment horizontal="left"/>
    </xf>
    <xf numFmtId="0" fontId="0" fillId="0" borderId="0" xfId="0" applyFont="1"/>
    <xf numFmtId="0" fontId="19" fillId="3" borderId="0" xfId="0" applyFont="1" applyFill="1" applyAlignment="1">
      <alignment horizontal="center"/>
    </xf>
    <xf numFmtId="0" fontId="19" fillId="3" borderId="0" xfId="0" applyFont="1" applyFill="1" applyAlignment="1">
      <alignment horizontal="left"/>
    </xf>
    <xf numFmtId="1" fontId="19" fillId="2" borderId="0" xfId="0" applyNumberFormat="1" applyFont="1" applyFill="1" applyAlignment="1">
      <alignment horizontal="left"/>
    </xf>
    <xf numFmtId="1" fontId="2" fillId="2" borderId="0" xfId="0" applyNumberFormat="1" applyFont="1" applyFill="1" applyAlignment="1">
      <alignment horizontal="left"/>
    </xf>
    <xf numFmtId="0" fontId="19" fillId="0" borderId="3" xfId="0" applyFont="1" applyBorder="1"/>
    <xf numFmtId="0" fontId="0" fillId="0" borderId="3" xfId="0" applyBorder="1"/>
    <xf numFmtId="0" fontId="20" fillId="0" borderId="0" xfId="0" applyFont="1"/>
    <xf numFmtId="0" fontId="2" fillId="0" borderId="0" xfId="0" applyFont="1" applyProtection="1">
      <protection locked="0"/>
    </xf>
    <xf numFmtId="0" fontId="2" fillId="0" borderId="0" xfId="0" applyFont="1" applyAlignment="1" applyProtection="1">
      <alignment horizontal="center"/>
      <protection locked="0"/>
    </xf>
    <xf numFmtId="0" fontId="0" fillId="0" borderId="0" xfId="0" applyFont="1" applyAlignment="1" applyProtection="1">
      <alignment horizontal="center"/>
      <protection locked="0"/>
    </xf>
    <xf numFmtId="0" fontId="2" fillId="0" borderId="0" xfId="0" applyFont="1" applyAlignment="1" applyProtection="1">
      <alignment horizontal="left"/>
      <protection locked="0"/>
    </xf>
    <xf numFmtId="0" fontId="24" fillId="0" borderId="0" xfId="449" applyFont="1" applyAlignment="1" applyProtection="1">
      <alignment horizontal="center"/>
      <protection locked="0"/>
    </xf>
    <xf numFmtId="0" fontId="0" fillId="0" borderId="0" xfId="0" applyFont="1" applyProtection="1">
      <protection locked="0"/>
    </xf>
    <xf numFmtId="0" fontId="3" fillId="0" borderId="0" xfId="449" applyProtection="1">
      <protection locked="0"/>
    </xf>
    <xf numFmtId="1" fontId="0" fillId="3" borderId="0" xfId="0" applyNumberFormat="1" applyFont="1" applyFill="1" applyAlignment="1" applyProtection="1">
      <alignment horizontal="center"/>
      <protection locked="0"/>
    </xf>
    <xf numFmtId="1" fontId="0" fillId="0" borderId="0" xfId="0" applyNumberFormat="1" applyFont="1" applyAlignment="1" applyProtection="1">
      <alignment horizontal="center"/>
      <protection locked="0"/>
    </xf>
    <xf numFmtId="0" fontId="7" fillId="0" borderId="0" xfId="0" applyFont="1" applyAlignment="1" applyProtection="1">
      <alignment horizontal="center" vertical="center"/>
      <protection locked="0"/>
    </xf>
    <xf numFmtId="0" fontId="3" fillId="0" borderId="0" xfId="449" applyAlignment="1" applyProtection="1">
      <alignment horizontal="left"/>
      <protection locked="0"/>
    </xf>
    <xf numFmtId="0" fontId="0" fillId="3" borderId="0" xfId="0" applyFont="1" applyFill="1" applyAlignment="1" applyProtection="1">
      <alignment horizontal="center"/>
      <protection locked="0"/>
    </xf>
    <xf numFmtId="0" fontId="9" fillId="0" borderId="0" xfId="0" applyFont="1" applyAlignment="1" applyProtection="1">
      <alignment horizontal="center"/>
      <protection locked="0"/>
    </xf>
    <xf numFmtId="0" fontId="0" fillId="0" borderId="0" xfId="0" applyFont="1" applyAlignment="1" applyProtection="1">
      <alignment horizontal="left"/>
      <protection locked="0"/>
    </xf>
    <xf numFmtId="0" fontId="3" fillId="0" borderId="0" xfId="449" applyFill="1" applyBorder="1" applyProtection="1">
      <protection locked="0"/>
    </xf>
    <xf numFmtId="0" fontId="5" fillId="0" borderId="0" xfId="0" applyFont="1" applyProtection="1">
      <protection locked="0"/>
    </xf>
    <xf numFmtId="0" fontId="0" fillId="0" borderId="1" xfId="0" applyFont="1" applyBorder="1" applyProtection="1">
      <protection locked="0"/>
    </xf>
    <xf numFmtId="0" fontId="0" fillId="0" borderId="1" xfId="0" applyFont="1" applyBorder="1" applyAlignment="1" applyProtection="1">
      <alignment horizontal="center"/>
      <protection locked="0"/>
    </xf>
    <xf numFmtId="0" fontId="0" fillId="2" borderId="0" xfId="0" applyFont="1" applyFill="1" applyBorder="1" applyAlignment="1" applyProtection="1">
      <alignment horizontal="center"/>
      <protection locked="0"/>
    </xf>
    <xf numFmtId="0" fontId="0" fillId="0" borderId="0" xfId="0" applyFont="1" applyFill="1" applyBorder="1" applyAlignment="1" applyProtection="1">
      <alignment horizontal="center"/>
      <protection locked="0"/>
    </xf>
    <xf numFmtId="0" fontId="11" fillId="0" borderId="0" xfId="0" applyFont="1" applyProtection="1">
      <protection locked="0"/>
    </xf>
    <xf numFmtId="0" fontId="9" fillId="0" borderId="0" xfId="0" applyFont="1" applyProtection="1">
      <protection locked="0"/>
    </xf>
    <xf numFmtId="0" fontId="11" fillId="0" borderId="0" xfId="0" applyFont="1" applyAlignment="1" applyProtection="1">
      <alignment horizontal="center"/>
      <protection locked="0"/>
    </xf>
    <xf numFmtId="1" fontId="9" fillId="0" borderId="0" xfId="0" applyNumberFormat="1" applyFont="1" applyAlignment="1" applyProtection="1">
      <alignment horizontal="center"/>
      <protection locked="0"/>
    </xf>
    <xf numFmtId="0" fontId="24" fillId="0" borderId="0" xfId="449" applyFont="1" applyProtection="1">
      <protection locked="0"/>
    </xf>
    <xf numFmtId="0" fontId="0" fillId="3" borderId="0" xfId="0" applyFont="1" applyFill="1" applyAlignment="1" applyProtection="1">
      <alignment horizontal="left"/>
      <protection locked="0"/>
    </xf>
    <xf numFmtId="0" fontId="6" fillId="3" borderId="0" xfId="0" applyFont="1" applyFill="1" applyAlignment="1" applyProtection="1">
      <alignment horizontal="center"/>
      <protection locked="0"/>
    </xf>
    <xf numFmtId="0" fontId="11" fillId="0" borderId="0" xfId="0" applyFont="1" applyAlignment="1" applyProtection="1">
      <alignment horizontal="left"/>
      <protection locked="0"/>
    </xf>
    <xf numFmtId="0" fontId="0" fillId="0" borderId="0" xfId="0" applyFont="1" applyAlignment="1" applyProtection="1">
      <alignment horizontal="right"/>
      <protection locked="0"/>
    </xf>
    <xf numFmtId="0" fontId="0" fillId="3" borderId="0" xfId="0" quotePrefix="1" applyFont="1" applyFill="1" applyAlignment="1" applyProtection="1">
      <alignment horizontal="left"/>
      <protection locked="0"/>
    </xf>
    <xf numFmtId="0" fontId="0" fillId="0" borderId="0" xfId="0" applyFont="1" applyFill="1" applyAlignment="1" applyProtection="1">
      <alignment horizontal="center"/>
      <protection locked="0"/>
    </xf>
    <xf numFmtId="1" fontId="0" fillId="0" borderId="0" xfId="0" applyNumberFormat="1" applyFont="1" applyFill="1" applyAlignment="1" applyProtection="1">
      <alignment horizontal="center"/>
      <protection locked="0"/>
    </xf>
    <xf numFmtId="0" fontId="0" fillId="0" borderId="0" xfId="0" applyFont="1" applyFill="1" applyAlignment="1" applyProtection="1">
      <alignment horizontal="left"/>
      <protection locked="0"/>
    </xf>
    <xf numFmtId="0" fontId="2" fillId="0" borderId="0" xfId="0" applyFont="1" applyBorder="1" applyAlignment="1" applyProtection="1">
      <alignment horizontal="left"/>
      <protection locked="0"/>
    </xf>
    <xf numFmtId="0" fontId="0" fillId="2" borderId="0" xfId="0" applyFont="1" applyFill="1" applyAlignment="1" applyProtection="1">
      <alignment horizontal="center"/>
      <protection locked="0"/>
    </xf>
    <xf numFmtId="0" fontId="0" fillId="0" borderId="0" xfId="0" applyFont="1" applyFill="1" applyProtection="1">
      <protection locked="0"/>
    </xf>
    <xf numFmtId="0" fontId="2" fillId="0" borderId="0" xfId="0" applyFont="1" applyFill="1" applyProtection="1">
      <protection locked="0"/>
    </xf>
    <xf numFmtId="0" fontId="1" fillId="0" borderId="0" xfId="0" applyFont="1" applyFill="1" applyProtection="1">
      <protection locked="0"/>
    </xf>
    <xf numFmtId="0" fontId="2" fillId="0" borderId="0" xfId="0" applyFont="1" applyFill="1" applyAlignment="1" applyProtection="1">
      <alignment horizontal="center"/>
      <protection locked="0"/>
    </xf>
    <xf numFmtId="0" fontId="5" fillId="0" borderId="0" xfId="0" applyFont="1" applyFill="1" applyAlignment="1" applyProtection="1">
      <alignment horizontal="center"/>
      <protection locked="0"/>
    </xf>
    <xf numFmtId="0" fontId="5" fillId="0" borderId="0" xfId="0" applyFont="1" applyFill="1" applyProtection="1">
      <protection locked="0"/>
    </xf>
    <xf numFmtId="1" fontId="5" fillId="0" borderId="0" xfId="0" applyNumberFormat="1" applyFont="1" applyFill="1" applyAlignment="1" applyProtection="1">
      <alignment horizontal="center"/>
      <protection locked="0"/>
    </xf>
    <xf numFmtId="0" fontId="13" fillId="0" borderId="0" xfId="0" applyFont="1" applyFill="1" applyProtection="1">
      <protection locked="0"/>
    </xf>
    <xf numFmtId="1" fontId="13" fillId="0" borderId="0" xfId="0" applyNumberFormat="1" applyFont="1" applyFill="1" applyAlignment="1" applyProtection="1">
      <alignment horizontal="center"/>
      <protection locked="0"/>
    </xf>
    <xf numFmtId="0" fontId="13" fillId="0" borderId="0" xfId="0" applyFont="1" applyFill="1" applyAlignment="1" applyProtection="1">
      <alignment horizontal="center"/>
      <protection locked="0"/>
    </xf>
    <xf numFmtId="0" fontId="18" fillId="0" borderId="0" xfId="0" applyFont="1" applyFill="1" applyProtection="1">
      <protection locked="0"/>
    </xf>
    <xf numFmtId="0" fontId="16" fillId="0" borderId="0" xfId="0" applyFont="1" applyFill="1" applyProtection="1">
      <protection locked="0"/>
    </xf>
    <xf numFmtId="0" fontId="7" fillId="0" borderId="0" xfId="0" applyFont="1" applyFill="1" applyProtection="1">
      <protection locked="0"/>
    </xf>
    <xf numFmtId="0" fontId="1" fillId="0" borderId="0" xfId="0" applyFont="1" applyProtection="1">
      <protection locked="0"/>
    </xf>
    <xf numFmtId="0" fontId="5" fillId="0" borderId="0" xfId="0" applyFont="1" applyFill="1" applyAlignment="1" applyProtection="1">
      <alignment horizontal="left"/>
      <protection locked="0"/>
    </xf>
    <xf numFmtId="0" fontId="7" fillId="0" borderId="0" xfId="0" applyFont="1" applyFill="1" applyAlignment="1" applyProtection="1">
      <alignment horizontal="center"/>
      <protection locked="0"/>
    </xf>
    <xf numFmtId="0" fontId="16" fillId="0" borderId="0" xfId="0" applyFont="1" applyFill="1" applyAlignment="1" applyProtection="1">
      <alignment horizontal="center"/>
      <protection locked="0"/>
    </xf>
    <xf numFmtId="0" fontId="13" fillId="0" borderId="0" xfId="0" applyFont="1" applyFill="1" applyAlignment="1" applyProtection="1">
      <alignment horizontal="left"/>
      <protection locked="0"/>
    </xf>
    <xf numFmtId="1" fontId="16" fillId="0" borderId="0" xfId="0" applyNumberFormat="1" applyFont="1" applyFill="1" applyAlignment="1" applyProtection="1">
      <alignment horizontal="center"/>
      <protection locked="0"/>
    </xf>
    <xf numFmtId="0" fontId="6" fillId="0" borderId="0" xfId="0" applyFont="1" applyProtection="1">
      <protection locked="0"/>
    </xf>
    <xf numFmtId="0" fontId="6" fillId="0" borderId="0" xfId="0" applyFont="1" applyFill="1" applyProtection="1">
      <protection locked="0"/>
    </xf>
    <xf numFmtId="0" fontId="8" fillId="0" borderId="0" xfId="0" applyFont="1" applyFill="1" applyAlignment="1" applyProtection="1">
      <alignment horizontal="center"/>
      <protection locked="0"/>
    </xf>
    <xf numFmtId="0" fontId="6" fillId="0" borderId="0" xfId="0" applyFont="1" applyFill="1" applyAlignment="1" applyProtection="1">
      <alignment horizontal="center"/>
      <protection locked="0"/>
    </xf>
    <xf numFmtId="0" fontId="8" fillId="0" borderId="0" xfId="0" applyFont="1" applyFill="1" applyAlignment="1" applyProtection="1">
      <alignment horizontal="left"/>
      <protection locked="0"/>
    </xf>
    <xf numFmtId="0" fontId="8" fillId="0" borderId="0" xfId="0" applyFont="1" applyFill="1" applyAlignment="1" applyProtection="1">
      <alignment horizontal="center" vertical="center"/>
      <protection locked="0"/>
    </xf>
    <xf numFmtId="0" fontId="5" fillId="0" borderId="0" xfId="0" applyFont="1" applyFill="1" applyAlignment="1" applyProtection="1">
      <alignment horizontal="center" vertical="center"/>
      <protection locked="0"/>
    </xf>
    <xf numFmtId="0" fontId="8" fillId="0" borderId="2" xfId="0" applyFont="1" applyFill="1" applyBorder="1" applyAlignment="1" applyProtection="1">
      <alignment horizontal="left"/>
      <protection locked="0"/>
    </xf>
    <xf numFmtId="0" fontId="8" fillId="0" borderId="2" xfId="0" applyFont="1" applyFill="1" applyBorder="1" applyAlignment="1" applyProtection="1">
      <alignment horizontal="center"/>
      <protection locked="0"/>
    </xf>
    <xf numFmtId="0" fontId="8" fillId="0" borderId="2" xfId="0" applyFont="1" applyFill="1" applyBorder="1" applyAlignment="1" applyProtection="1">
      <alignment vertical="center"/>
      <protection locked="0"/>
    </xf>
    <xf numFmtId="0" fontId="8" fillId="0" borderId="2" xfId="0" applyFont="1" applyFill="1" applyBorder="1" applyAlignment="1" applyProtection="1">
      <alignment horizontal="center" vertical="center"/>
      <protection locked="0"/>
    </xf>
    <xf numFmtId="0" fontId="5" fillId="0" borderId="2" xfId="0" applyFont="1" applyFill="1" applyBorder="1" applyAlignment="1" applyProtection="1">
      <alignment horizontal="center" vertical="center"/>
      <protection locked="0"/>
    </xf>
    <xf numFmtId="0" fontId="5" fillId="0" borderId="2" xfId="0" applyFont="1" applyFill="1" applyBorder="1" applyAlignment="1" applyProtection="1">
      <alignment horizontal="center"/>
      <protection locked="0"/>
    </xf>
    <xf numFmtId="0" fontId="0" fillId="0" borderId="2" xfId="0" applyFont="1" applyFill="1" applyBorder="1" applyAlignment="1" applyProtection="1">
      <alignment horizontal="center"/>
      <protection locked="0"/>
    </xf>
    <xf numFmtId="0" fontId="0" fillId="0" borderId="2" xfId="0" applyFont="1" applyFill="1" applyBorder="1" applyProtection="1">
      <protection locked="0"/>
    </xf>
    <xf numFmtId="0" fontId="5" fillId="0" borderId="2" xfId="0" applyFont="1" applyFill="1" applyBorder="1" applyProtection="1">
      <protection locked="0"/>
    </xf>
    <xf numFmtId="0" fontId="5" fillId="0" borderId="2" xfId="0" applyFont="1" applyBorder="1" applyProtection="1">
      <protection locked="0"/>
    </xf>
    <xf numFmtId="0" fontId="0" fillId="0" borderId="2" xfId="0" applyFont="1" applyBorder="1" applyProtection="1">
      <protection locked="0"/>
    </xf>
    <xf numFmtId="0" fontId="5" fillId="0" borderId="0" xfId="0" applyFont="1" applyAlignment="1" applyProtection="1">
      <alignment horizontal="center"/>
      <protection locked="0"/>
    </xf>
    <xf numFmtId="0" fontId="10" fillId="0" borderId="0" xfId="0" applyFont="1" applyProtection="1">
      <protection locked="0"/>
    </xf>
    <xf numFmtId="0" fontId="2" fillId="0" borderId="0" xfId="0" applyFont="1" applyFill="1" applyBorder="1" applyProtection="1">
      <protection locked="0"/>
    </xf>
    <xf numFmtId="0" fontId="8" fillId="0" borderId="0" xfId="0" applyFont="1" applyProtection="1">
      <protection locked="0"/>
    </xf>
    <xf numFmtId="0" fontId="13" fillId="0" borderId="0" xfId="0" applyFont="1" applyFill="1" applyBorder="1" applyAlignment="1" applyProtection="1">
      <alignment horizontal="center"/>
      <protection locked="0"/>
    </xf>
    <xf numFmtId="0" fontId="1" fillId="0" borderId="0" xfId="0" applyFont="1" applyFill="1" applyBorder="1" applyAlignment="1" applyProtection="1">
      <alignment horizontal="center"/>
      <protection locked="0"/>
    </xf>
    <xf numFmtId="0" fontId="2" fillId="3" borderId="0" xfId="0" applyFont="1" applyFill="1" applyAlignment="1" applyProtection="1">
      <alignment horizontal="center"/>
      <protection locked="0"/>
    </xf>
    <xf numFmtId="0" fontId="6" fillId="0" borderId="2" xfId="0" applyFont="1" applyBorder="1" applyProtection="1">
      <protection locked="0"/>
    </xf>
    <xf numFmtId="0" fontId="0" fillId="0" borderId="2" xfId="0" applyFont="1" applyBorder="1" applyAlignment="1" applyProtection="1">
      <alignment horizontal="center"/>
      <protection locked="0"/>
    </xf>
    <xf numFmtId="0" fontId="2" fillId="0" borderId="1" xfId="0" applyFont="1" applyBorder="1" applyAlignment="1" applyProtection="1">
      <alignment horizontal="left"/>
      <protection locked="0"/>
    </xf>
    <xf numFmtId="0" fontId="2" fillId="0" borderId="1" xfId="0" applyFont="1" applyBorder="1" applyAlignment="1" applyProtection="1">
      <alignment horizontal="center"/>
      <protection locked="0"/>
    </xf>
    <xf numFmtId="0" fontId="3" fillId="0" borderId="0" xfId="449" applyBorder="1" applyAlignment="1" applyProtection="1">
      <alignment horizontal="left"/>
      <protection locked="0"/>
    </xf>
    <xf numFmtId="0" fontId="0" fillId="3" borderId="0" xfId="0" applyFont="1" applyFill="1" applyBorder="1" applyAlignment="1" applyProtection="1">
      <alignment horizontal="center"/>
      <protection locked="0"/>
    </xf>
    <xf numFmtId="0" fontId="2" fillId="0" borderId="0" xfId="0" applyFont="1" applyBorder="1" applyAlignment="1" applyProtection="1">
      <alignment horizontal="center"/>
      <protection locked="0"/>
    </xf>
    <xf numFmtId="0" fontId="24" fillId="0" borderId="0" xfId="449" applyFont="1" applyAlignment="1" applyProtection="1">
      <alignment horizontal="left"/>
      <protection locked="0"/>
    </xf>
    <xf numFmtId="1" fontId="8" fillId="0" borderId="0" xfId="0" applyNumberFormat="1" applyFont="1" applyAlignment="1" applyProtection="1">
      <alignment horizontal="center"/>
      <protection locked="0"/>
    </xf>
    <xf numFmtId="0" fontId="8" fillId="0" borderId="0" xfId="0" applyFont="1" applyAlignment="1" applyProtection="1">
      <alignment horizontal="center"/>
      <protection locked="0"/>
    </xf>
    <xf numFmtId="0" fontId="23" fillId="0" borderId="0" xfId="0" applyFont="1" applyAlignment="1" applyProtection="1">
      <alignment horizontal="center" vertical="center"/>
      <protection locked="0"/>
    </xf>
    <xf numFmtId="0" fontId="23" fillId="0" borderId="0" xfId="0" applyFont="1" applyAlignment="1" applyProtection="1">
      <alignment horizontal="center"/>
      <protection locked="0"/>
    </xf>
    <xf numFmtId="3" fontId="22" fillId="0" borderId="0" xfId="0" applyNumberFormat="1" applyFont="1" applyAlignment="1" applyProtection="1">
      <alignment horizontal="center" vertical="center"/>
      <protection locked="0"/>
    </xf>
    <xf numFmtId="3" fontId="8" fillId="0" borderId="0" xfId="0" applyNumberFormat="1" applyFont="1" applyFill="1" applyAlignment="1" applyProtection="1">
      <alignment horizontal="center"/>
      <protection locked="0"/>
    </xf>
    <xf numFmtId="3" fontId="8" fillId="0" borderId="0" xfId="0" applyNumberFormat="1" applyFont="1" applyAlignment="1" applyProtection="1">
      <alignment horizontal="center"/>
      <protection locked="0"/>
    </xf>
    <xf numFmtId="3" fontId="21" fillId="0" borderId="0" xfId="0" applyNumberFormat="1" applyFont="1" applyAlignment="1" applyProtection="1">
      <alignment horizontal="center" vertical="center"/>
      <protection locked="0"/>
    </xf>
    <xf numFmtId="3" fontId="22" fillId="0" borderId="0" xfId="0" applyNumberFormat="1" applyFont="1" applyAlignment="1" applyProtection="1">
      <alignment horizontal="center"/>
      <protection locked="0"/>
    </xf>
    <xf numFmtId="3" fontId="0" fillId="0" borderId="0" xfId="0" applyNumberFormat="1" applyFont="1" applyAlignment="1" applyProtection="1">
      <alignment horizontal="center"/>
      <protection locked="0"/>
    </xf>
    <xf numFmtId="3" fontId="21" fillId="0" borderId="0" xfId="0" applyNumberFormat="1" applyFont="1" applyAlignment="1" applyProtection="1">
      <alignment horizontal="center"/>
      <protection locked="0"/>
    </xf>
    <xf numFmtId="3" fontId="0" fillId="0" borderId="0" xfId="0" applyNumberFormat="1" applyFont="1" applyProtection="1">
      <protection locked="0"/>
    </xf>
    <xf numFmtId="0" fontId="0" fillId="0" borderId="0" xfId="0" applyFont="1" applyBorder="1" applyProtection="1">
      <protection locked="0"/>
    </xf>
    <xf numFmtId="0" fontId="0" fillId="0" borderId="0" xfId="0" applyFont="1" applyBorder="1" applyAlignment="1" applyProtection="1">
      <alignment horizontal="center"/>
      <protection locked="0"/>
    </xf>
    <xf numFmtId="0" fontId="8" fillId="0" borderId="0" xfId="0" applyFont="1" applyBorder="1" applyProtection="1">
      <protection locked="0"/>
    </xf>
    <xf numFmtId="3" fontId="0" fillId="0" borderId="0" xfId="0" applyNumberFormat="1" applyFont="1" applyBorder="1" applyAlignment="1" applyProtection="1">
      <alignment horizontal="center"/>
      <protection locked="0"/>
    </xf>
    <xf numFmtId="1" fontId="1" fillId="0" borderId="0" xfId="0" applyNumberFormat="1" applyFont="1" applyFill="1" applyAlignment="1" applyProtection="1">
      <alignment horizontal="center"/>
      <protection locked="0"/>
    </xf>
    <xf numFmtId="0" fontId="1" fillId="0" borderId="0" xfId="0" applyFont="1" applyFill="1" applyAlignment="1" applyProtection="1">
      <alignment horizontal="center"/>
      <protection locked="0"/>
    </xf>
    <xf numFmtId="0" fontId="14" fillId="0" borderId="0" xfId="0" applyFont="1" applyFill="1" applyProtection="1">
      <protection locked="0"/>
    </xf>
    <xf numFmtId="0" fontId="14" fillId="0" borderId="0" xfId="0" applyFont="1" applyFill="1" applyAlignment="1" applyProtection="1">
      <alignment horizontal="center"/>
      <protection locked="0"/>
    </xf>
    <xf numFmtId="1" fontId="7" fillId="0" borderId="0" xfId="0" applyNumberFormat="1" applyFont="1" applyFill="1" applyAlignment="1" applyProtection="1">
      <alignment horizontal="center"/>
      <protection locked="0"/>
    </xf>
    <xf numFmtId="0" fontId="0" fillId="0" borderId="0" xfId="0" applyProtection="1">
      <protection locked="0"/>
    </xf>
    <xf numFmtId="1" fontId="1" fillId="0" borderId="0" xfId="0" applyNumberFormat="1" applyFont="1" applyAlignment="1" applyProtection="1">
      <alignment horizontal="center"/>
      <protection locked="0"/>
    </xf>
    <xf numFmtId="0" fontId="1" fillId="0" borderId="0" xfId="0" applyFont="1" applyAlignment="1" applyProtection="1">
      <alignment horizontal="center"/>
      <protection locked="0"/>
    </xf>
    <xf numFmtId="1" fontId="5" fillId="0" borderId="0" xfId="0" applyNumberFormat="1" applyFont="1" applyAlignment="1" applyProtection="1">
      <alignment horizontal="center"/>
      <protection locked="0"/>
    </xf>
    <xf numFmtId="0" fontId="13" fillId="0" borderId="0" xfId="0" applyFont="1" applyProtection="1">
      <protection locked="0"/>
    </xf>
    <xf numFmtId="1" fontId="13" fillId="0" borderId="0" xfId="0" applyNumberFormat="1" applyFont="1" applyAlignment="1" applyProtection="1">
      <alignment horizontal="center"/>
      <protection locked="0"/>
    </xf>
    <xf numFmtId="0" fontId="13" fillId="0" borderId="0" xfId="0" applyFont="1" applyAlignment="1" applyProtection="1">
      <alignment horizontal="center"/>
      <protection locked="0"/>
    </xf>
    <xf numFmtId="0" fontId="18" fillId="0" borderId="0" xfId="0" applyFont="1" applyProtection="1">
      <protection locked="0"/>
    </xf>
    <xf numFmtId="0" fontId="5" fillId="0" borderId="0" xfId="0" applyFont="1" applyAlignment="1" applyProtection="1">
      <alignment horizontal="left"/>
      <protection locked="0"/>
    </xf>
    <xf numFmtId="0" fontId="13" fillId="0" borderId="0" xfId="0" applyFont="1" applyAlignment="1" applyProtection="1">
      <alignment horizontal="left"/>
      <protection locked="0"/>
    </xf>
    <xf numFmtId="0" fontId="8" fillId="0" borderId="0" xfId="0" applyFont="1" applyFill="1" applyProtection="1">
      <protection locked="0"/>
    </xf>
    <xf numFmtId="1" fontId="8" fillId="0" borderId="0" xfId="0" applyNumberFormat="1" applyFont="1" applyFill="1" applyAlignment="1" applyProtection="1">
      <alignment horizontal="center"/>
      <protection locked="0"/>
    </xf>
    <xf numFmtId="0" fontId="14" fillId="0" borderId="0" xfId="0" applyFont="1" applyAlignment="1" applyProtection="1">
      <alignment horizontal="center"/>
      <protection locked="0"/>
    </xf>
    <xf numFmtId="0" fontId="7" fillId="0" borderId="0" xfId="0" applyFont="1" applyProtection="1">
      <protection locked="0"/>
    </xf>
    <xf numFmtId="1" fontId="7" fillId="0" borderId="0" xfId="0" applyNumberFormat="1" applyFont="1" applyAlignment="1" applyProtection="1">
      <alignment horizontal="center"/>
      <protection locked="0"/>
    </xf>
    <xf numFmtId="0" fontId="16" fillId="0" borderId="0" xfId="0" applyFont="1" applyProtection="1">
      <protection locked="0"/>
    </xf>
    <xf numFmtId="0" fontId="14" fillId="0" borderId="0" xfId="0" applyFont="1" applyProtection="1">
      <protection locked="0"/>
    </xf>
    <xf numFmtId="0" fontId="16" fillId="0" borderId="0" xfId="0" applyFont="1" applyAlignment="1" applyProtection="1">
      <alignment horizontal="center"/>
      <protection locked="0"/>
    </xf>
    <xf numFmtId="1" fontId="16" fillId="0" borderId="0" xfId="0" applyNumberFormat="1" applyFont="1" applyAlignment="1" applyProtection="1">
      <alignment horizontal="center"/>
      <protection locked="0"/>
    </xf>
    <xf numFmtId="0" fontId="17" fillId="0" borderId="0" xfId="0" applyFont="1" applyFill="1" applyProtection="1">
      <protection locked="0"/>
    </xf>
    <xf numFmtId="0" fontId="7" fillId="0" borderId="0" xfId="0" applyFont="1" applyAlignment="1" applyProtection="1">
      <alignment horizontal="center"/>
      <protection locked="0"/>
    </xf>
    <xf numFmtId="0" fontId="17" fillId="0" borderId="0" xfId="0" applyFont="1" applyProtection="1">
      <protection locked="0"/>
    </xf>
    <xf numFmtId="1" fontId="6" fillId="0" borderId="0" xfId="0" applyNumberFormat="1" applyFont="1" applyFill="1" applyAlignment="1" applyProtection="1">
      <alignment horizontal="center"/>
      <protection locked="0"/>
    </xf>
    <xf numFmtId="0" fontId="24" fillId="0" borderId="0" xfId="449" applyFont="1" applyFill="1" applyProtection="1">
      <protection locked="0"/>
    </xf>
    <xf numFmtId="0" fontId="9" fillId="0" borderId="0" xfId="0" applyFont="1" applyFill="1" applyProtection="1">
      <protection locked="0"/>
    </xf>
    <xf numFmtId="0" fontId="16" fillId="0" borderId="0" xfId="0" applyFont="1" applyAlignment="1" applyProtection="1">
      <alignment horizontal="left"/>
      <protection locked="0"/>
    </xf>
    <xf numFmtId="0" fontId="17" fillId="0" borderId="0" xfId="0" applyFont="1" applyAlignment="1" applyProtection="1">
      <alignment horizontal="left"/>
      <protection locked="0"/>
    </xf>
    <xf numFmtId="1" fontId="17" fillId="0" borderId="0" xfId="0" applyNumberFormat="1" applyFont="1" applyAlignment="1" applyProtection="1">
      <alignment horizontal="center"/>
      <protection locked="0"/>
    </xf>
    <xf numFmtId="0" fontId="15" fillId="0" borderId="0" xfId="0" applyFont="1" applyFill="1" applyProtection="1">
      <protection locked="0"/>
    </xf>
    <xf numFmtId="0" fontId="2" fillId="0" borderId="2" xfId="0" applyFont="1" applyFill="1" applyBorder="1" applyProtection="1">
      <protection locked="0"/>
    </xf>
    <xf numFmtId="0" fontId="2" fillId="0" borderId="2" xfId="0" applyFont="1" applyFill="1" applyBorder="1" applyAlignment="1" applyProtection="1">
      <alignment horizontal="center"/>
      <protection locked="0"/>
    </xf>
    <xf numFmtId="0" fontId="15" fillId="0" borderId="0" xfId="0" applyFont="1" applyProtection="1">
      <protection locked="0"/>
    </xf>
    <xf numFmtId="0" fontId="15" fillId="0" borderId="2" xfId="0" applyFont="1" applyFill="1" applyBorder="1" applyProtection="1">
      <protection locked="0"/>
    </xf>
    <xf numFmtId="0" fontId="7" fillId="0" borderId="2" xfId="0" applyFont="1" applyFill="1" applyBorder="1" applyProtection="1">
      <protection locked="0"/>
    </xf>
    <xf numFmtId="0" fontId="13" fillId="0" borderId="2" xfId="0" applyFont="1" applyFill="1" applyBorder="1" applyAlignment="1" applyProtection="1">
      <alignment horizontal="left"/>
      <protection locked="0"/>
    </xf>
    <xf numFmtId="1" fontId="13" fillId="0" borderId="2" xfId="0" applyNumberFormat="1" applyFont="1" applyFill="1" applyBorder="1" applyAlignment="1" applyProtection="1">
      <alignment horizontal="center"/>
      <protection locked="0"/>
    </xf>
    <xf numFmtId="1" fontId="5" fillId="0" borderId="2" xfId="0" applyNumberFormat="1" applyFont="1" applyFill="1" applyBorder="1" applyAlignment="1" applyProtection="1">
      <alignment horizontal="center"/>
      <protection locked="0"/>
    </xf>
    <xf numFmtId="0" fontId="6" fillId="0" borderId="0" xfId="0" applyFont="1" applyAlignment="1" applyProtection="1">
      <alignment horizontal="center"/>
      <protection locked="0"/>
    </xf>
    <xf numFmtId="0" fontId="9" fillId="0" borderId="0" xfId="0" applyFont="1" applyFill="1" applyBorder="1" applyProtection="1">
      <protection locked="0"/>
    </xf>
    <xf numFmtId="0" fontId="8" fillId="3" borderId="0" xfId="0" applyFont="1" applyFill="1" applyAlignment="1" applyProtection="1">
      <alignment horizontal="left"/>
      <protection locked="0"/>
    </xf>
    <xf numFmtId="0" fontId="8" fillId="3" borderId="0" xfId="0" applyFont="1" applyFill="1" applyAlignment="1" applyProtection="1">
      <alignment horizontal="center" vertical="center"/>
      <protection locked="0"/>
    </xf>
    <xf numFmtId="1" fontId="8" fillId="3" borderId="0" xfId="0" applyNumberFormat="1" applyFont="1" applyFill="1" applyAlignment="1" applyProtection="1">
      <alignment horizontal="center" vertical="center"/>
      <protection locked="0"/>
    </xf>
    <xf numFmtId="0" fontId="5" fillId="0" borderId="0" xfId="0" applyFont="1" applyAlignment="1" applyProtection="1">
      <alignment horizontal="center" vertical="center"/>
      <protection locked="0"/>
    </xf>
    <xf numFmtId="0" fontId="8" fillId="3" borderId="0" xfId="0" applyFont="1" applyFill="1" applyAlignment="1" applyProtection="1">
      <alignment vertical="center"/>
      <protection locked="0"/>
    </xf>
    <xf numFmtId="0" fontId="8" fillId="3" borderId="0" xfId="0" applyFont="1" applyFill="1" applyAlignment="1" applyProtection="1">
      <alignment horizontal="center"/>
      <protection locked="0"/>
    </xf>
    <xf numFmtId="0" fontId="26" fillId="0" borderId="0" xfId="449" applyFont="1" applyFill="1" applyBorder="1" applyProtection="1">
      <protection locked="0"/>
    </xf>
    <xf numFmtId="0" fontId="25" fillId="0" borderId="0" xfId="449" applyFont="1" applyAlignment="1" applyProtection="1">
      <alignment horizontal="right"/>
      <protection locked="0"/>
    </xf>
    <xf numFmtId="0" fontId="11" fillId="0" borderId="0" xfId="0" applyFont="1" applyAlignment="1" applyProtection="1">
      <alignment horizontal="right"/>
      <protection locked="0"/>
    </xf>
    <xf numFmtId="0" fontId="24" fillId="0" borderId="0" xfId="449" applyFont="1" applyFill="1" applyAlignment="1" applyProtection="1">
      <alignment horizontal="center"/>
      <protection locked="0"/>
    </xf>
  </cellXfs>
  <cellStyles count="450">
    <cellStyle name="Avattu hyperlinkki" xfId="2" builtinId="9" hidden="1"/>
    <cellStyle name="Avattu hyperlinkki" xfId="4" builtinId="9" hidden="1"/>
    <cellStyle name="Avattu hyperlinkki" xfId="6" builtinId="9" hidden="1"/>
    <cellStyle name="Avattu hyperlinkki" xfId="8" builtinId="9" hidden="1"/>
    <cellStyle name="Avattu hyperlinkki" xfId="10" builtinId="9" hidden="1"/>
    <cellStyle name="Avattu hyperlinkki" xfId="12" builtinId="9" hidden="1"/>
    <cellStyle name="Avattu hyperlinkki" xfId="14" builtinId="9" hidden="1"/>
    <cellStyle name="Avattu hyperlinkki" xfId="16" builtinId="9" hidden="1"/>
    <cellStyle name="Avattu hyperlinkki" xfId="18" builtinId="9" hidden="1"/>
    <cellStyle name="Avattu hyperlinkki" xfId="20" builtinId="9" hidden="1"/>
    <cellStyle name="Avattu hyperlinkki" xfId="22" builtinId="9" hidden="1"/>
    <cellStyle name="Avattu hyperlinkki" xfId="24" builtinId="9" hidden="1"/>
    <cellStyle name="Avattu hyperlinkki" xfId="26" builtinId="9" hidden="1"/>
    <cellStyle name="Avattu hyperlinkki" xfId="28" builtinId="9" hidden="1"/>
    <cellStyle name="Avattu hyperlinkki" xfId="30" builtinId="9" hidden="1"/>
    <cellStyle name="Avattu hyperlinkki" xfId="32" builtinId="9" hidden="1"/>
    <cellStyle name="Avattu hyperlinkki" xfId="34" builtinId="9" hidden="1"/>
    <cellStyle name="Avattu hyperlinkki" xfId="36" builtinId="9" hidden="1"/>
    <cellStyle name="Avattu hyperlinkki" xfId="38" builtinId="9" hidden="1"/>
    <cellStyle name="Avattu hyperlinkki" xfId="40" builtinId="9" hidden="1"/>
    <cellStyle name="Avattu hyperlinkki" xfId="42" builtinId="9" hidden="1"/>
    <cellStyle name="Avattu hyperlinkki" xfId="44" builtinId="9" hidden="1"/>
    <cellStyle name="Avattu hyperlinkki" xfId="46" builtinId="9" hidden="1"/>
    <cellStyle name="Avattu hyperlinkki" xfId="48" builtinId="9" hidden="1"/>
    <cellStyle name="Avattu hyperlinkki" xfId="50" builtinId="9" hidden="1"/>
    <cellStyle name="Avattu hyperlinkki" xfId="52" builtinId="9" hidden="1"/>
    <cellStyle name="Avattu hyperlinkki" xfId="54" builtinId="9" hidden="1"/>
    <cellStyle name="Avattu hyperlinkki" xfId="56" builtinId="9" hidden="1"/>
    <cellStyle name="Avattu hyperlinkki" xfId="58" builtinId="9" hidden="1"/>
    <cellStyle name="Avattu hyperlinkki" xfId="60" builtinId="9" hidden="1"/>
    <cellStyle name="Avattu hyperlinkki" xfId="62" builtinId="9" hidden="1"/>
    <cellStyle name="Avattu hyperlinkki" xfId="64" builtinId="9" hidden="1"/>
    <cellStyle name="Avattu hyperlinkki" xfId="66" builtinId="9" hidden="1"/>
    <cellStyle name="Avattu hyperlinkki" xfId="68" builtinId="9" hidden="1"/>
    <cellStyle name="Avattu hyperlinkki" xfId="70" builtinId="9" hidden="1"/>
    <cellStyle name="Avattu hyperlinkki" xfId="72" builtinId="9" hidden="1"/>
    <cellStyle name="Avattu hyperlinkki" xfId="74" builtinId="9" hidden="1"/>
    <cellStyle name="Avattu hyperlinkki" xfId="76" builtinId="9" hidden="1"/>
    <cellStyle name="Avattu hyperlinkki" xfId="78" builtinId="9" hidden="1"/>
    <cellStyle name="Avattu hyperlinkki" xfId="80" builtinId="9" hidden="1"/>
    <cellStyle name="Avattu hyperlinkki" xfId="82" builtinId="9" hidden="1"/>
    <cellStyle name="Avattu hyperlinkki" xfId="84" builtinId="9" hidden="1"/>
    <cellStyle name="Avattu hyperlinkki" xfId="86" builtinId="9" hidden="1"/>
    <cellStyle name="Avattu hyperlinkki" xfId="88" builtinId="9" hidden="1"/>
    <cellStyle name="Avattu hyperlinkki" xfId="90" builtinId="9" hidden="1"/>
    <cellStyle name="Avattu hyperlinkki" xfId="92" builtinId="9" hidden="1"/>
    <cellStyle name="Avattu hyperlinkki" xfId="94" builtinId="9" hidden="1"/>
    <cellStyle name="Avattu hyperlinkki" xfId="96" builtinId="9" hidden="1"/>
    <cellStyle name="Avattu hyperlinkki" xfId="98" builtinId="9" hidden="1"/>
    <cellStyle name="Avattu hyperlinkki" xfId="100" builtinId="9" hidden="1"/>
    <cellStyle name="Avattu hyperlinkki" xfId="102" builtinId="9" hidden="1"/>
    <cellStyle name="Avattu hyperlinkki" xfId="104" builtinId="9" hidden="1"/>
    <cellStyle name="Avattu hyperlinkki" xfId="106" builtinId="9" hidden="1"/>
    <cellStyle name="Avattu hyperlinkki" xfId="108" builtinId="9" hidden="1"/>
    <cellStyle name="Avattu hyperlinkki" xfId="110" builtinId="9" hidden="1"/>
    <cellStyle name="Avattu hyperlinkki" xfId="112" builtinId="9" hidden="1"/>
    <cellStyle name="Avattu hyperlinkki" xfId="114" builtinId="9" hidden="1"/>
    <cellStyle name="Avattu hyperlinkki" xfId="116" builtinId="9" hidden="1"/>
    <cellStyle name="Avattu hyperlinkki" xfId="118" builtinId="9" hidden="1"/>
    <cellStyle name="Avattu hyperlinkki" xfId="120" builtinId="9" hidden="1"/>
    <cellStyle name="Avattu hyperlinkki" xfId="122" builtinId="9" hidden="1"/>
    <cellStyle name="Avattu hyperlinkki" xfId="124" builtinId="9" hidden="1"/>
    <cellStyle name="Avattu hyperlinkki" xfId="126" builtinId="9" hidden="1"/>
    <cellStyle name="Avattu hyperlinkki" xfId="128" builtinId="9" hidden="1"/>
    <cellStyle name="Avattu hyperlinkki" xfId="130" builtinId="9" hidden="1"/>
    <cellStyle name="Avattu hyperlinkki" xfId="132" builtinId="9" hidden="1"/>
    <cellStyle name="Avattu hyperlinkki" xfId="134" builtinId="9" hidden="1"/>
    <cellStyle name="Avattu hyperlinkki" xfId="136" builtinId="9" hidden="1"/>
    <cellStyle name="Avattu hyperlinkki" xfId="138" builtinId="9" hidden="1"/>
    <cellStyle name="Avattu hyperlinkki" xfId="140" builtinId="9" hidden="1"/>
    <cellStyle name="Avattu hyperlinkki" xfId="142" builtinId="9" hidden="1"/>
    <cellStyle name="Avattu hyperlinkki" xfId="144" builtinId="9" hidden="1"/>
    <cellStyle name="Avattu hyperlinkki" xfId="146" builtinId="9" hidden="1"/>
    <cellStyle name="Avattu hyperlinkki" xfId="148" builtinId="9" hidden="1"/>
    <cellStyle name="Avattu hyperlinkki" xfId="150" builtinId="9" hidden="1"/>
    <cellStyle name="Avattu hyperlinkki" xfId="152" builtinId="9" hidden="1"/>
    <cellStyle name="Avattu hyperlinkki" xfId="154" builtinId="9" hidden="1"/>
    <cellStyle name="Avattu hyperlinkki" xfId="156" builtinId="9" hidden="1"/>
    <cellStyle name="Avattu hyperlinkki" xfId="158" builtinId="9" hidden="1"/>
    <cellStyle name="Avattu hyperlinkki" xfId="160" builtinId="9" hidden="1"/>
    <cellStyle name="Avattu hyperlinkki" xfId="162" builtinId="9" hidden="1"/>
    <cellStyle name="Avattu hyperlinkki" xfId="164" builtinId="9" hidden="1"/>
    <cellStyle name="Avattu hyperlinkki" xfId="166" builtinId="9" hidden="1"/>
    <cellStyle name="Avattu hyperlinkki" xfId="168" builtinId="9" hidden="1"/>
    <cellStyle name="Avattu hyperlinkki" xfId="170" builtinId="9" hidden="1"/>
    <cellStyle name="Avattu hyperlinkki" xfId="172" builtinId="9" hidden="1"/>
    <cellStyle name="Avattu hyperlinkki" xfId="174" builtinId="9" hidden="1"/>
    <cellStyle name="Avattu hyperlinkki" xfId="176" builtinId="9" hidden="1"/>
    <cellStyle name="Avattu hyperlinkki" xfId="178" builtinId="9" hidden="1"/>
    <cellStyle name="Avattu hyperlinkki" xfId="180" builtinId="9" hidden="1"/>
    <cellStyle name="Avattu hyperlinkki" xfId="182" builtinId="9" hidden="1"/>
    <cellStyle name="Avattu hyperlinkki" xfId="184" builtinId="9" hidden="1"/>
    <cellStyle name="Avattu hyperlinkki" xfId="186" builtinId="9" hidden="1"/>
    <cellStyle name="Avattu hyperlinkki" xfId="188" builtinId="9" hidden="1"/>
    <cellStyle name="Avattu hyperlinkki" xfId="190" builtinId="9" hidden="1"/>
    <cellStyle name="Avattu hyperlinkki" xfId="192" builtinId="9" hidden="1"/>
    <cellStyle name="Avattu hyperlinkki" xfId="194" builtinId="9" hidden="1"/>
    <cellStyle name="Avattu hyperlinkki" xfId="196" builtinId="9" hidden="1"/>
    <cellStyle name="Avattu hyperlinkki" xfId="198" builtinId="9" hidden="1"/>
    <cellStyle name="Avattu hyperlinkki" xfId="200" builtinId="9" hidden="1"/>
    <cellStyle name="Avattu hyperlinkki" xfId="202" builtinId="9" hidden="1"/>
    <cellStyle name="Avattu hyperlinkki" xfId="204" builtinId="9" hidden="1"/>
    <cellStyle name="Avattu hyperlinkki" xfId="206" builtinId="9" hidden="1"/>
    <cellStyle name="Avattu hyperlinkki" xfId="208" builtinId="9" hidden="1"/>
    <cellStyle name="Avattu hyperlinkki" xfId="210" builtinId="9" hidden="1"/>
    <cellStyle name="Avattu hyperlinkki" xfId="212" builtinId="9" hidden="1"/>
    <cellStyle name="Avattu hyperlinkki" xfId="214" builtinId="9" hidden="1"/>
    <cellStyle name="Avattu hyperlinkki" xfId="216" builtinId="9" hidden="1"/>
    <cellStyle name="Avattu hyperlinkki" xfId="218" builtinId="9" hidden="1"/>
    <cellStyle name="Avattu hyperlinkki" xfId="220" builtinId="9" hidden="1"/>
    <cellStyle name="Avattu hyperlinkki" xfId="222" builtinId="9" hidden="1"/>
    <cellStyle name="Avattu hyperlinkki" xfId="224" builtinId="9" hidden="1"/>
    <cellStyle name="Avattu hyperlinkki" xfId="226" builtinId="9" hidden="1"/>
    <cellStyle name="Avattu hyperlinkki" xfId="228" builtinId="9" hidden="1"/>
    <cellStyle name="Avattu hyperlinkki" xfId="230" builtinId="9" hidden="1"/>
    <cellStyle name="Avattu hyperlinkki" xfId="232" builtinId="9" hidden="1"/>
    <cellStyle name="Avattu hyperlinkki" xfId="234" builtinId="9" hidden="1"/>
    <cellStyle name="Avattu hyperlinkki" xfId="236" builtinId="9" hidden="1"/>
    <cellStyle name="Avattu hyperlinkki" xfId="238" builtinId="9" hidden="1"/>
    <cellStyle name="Avattu hyperlinkki" xfId="240" builtinId="9" hidden="1"/>
    <cellStyle name="Avattu hyperlinkki" xfId="242" builtinId="9" hidden="1"/>
    <cellStyle name="Avattu hyperlinkki" xfId="244" builtinId="9" hidden="1"/>
    <cellStyle name="Avattu hyperlinkki" xfId="246" builtinId="9" hidden="1"/>
    <cellStyle name="Avattu hyperlinkki" xfId="248" builtinId="9" hidden="1"/>
    <cellStyle name="Avattu hyperlinkki" xfId="250" builtinId="9" hidden="1"/>
    <cellStyle name="Avattu hyperlinkki" xfId="252" builtinId="9" hidden="1"/>
    <cellStyle name="Avattu hyperlinkki" xfId="254" builtinId="9" hidden="1"/>
    <cellStyle name="Avattu hyperlinkki" xfId="256" builtinId="9" hidden="1"/>
    <cellStyle name="Avattu hyperlinkki" xfId="258" builtinId="9" hidden="1"/>
    <cellStyle name="Avattu hyperlinkki" xfId="260" builtinId="9" hidden="1"/>
    <cellStyle name="Avattu hyperlinkki" xfId="262" builtinId="9" hidden="1"/>
    <cellStyle name="Avattu hyperlinkki" xfId="264" builtinId="9" hidden="1"/>
    <cellStyle name="Avattu hyperlinkki" xfId="266" builtinId="9" hidden="1"/>
    <cellStyle name="Avattu hyperlinkki" xfId="268" builtinId="9" hidden="1"/>
    <cellStyle name="Avattu hyperlinkki" xfId="270" builtinId="9" hidden="1"/>
    <cellStyle name="Avattu hyperlinkki" xfId="272" builtinId="9" hidden="1"/>
    <cellStyle name="Avattu hyperlinkki" xfId="274" builtinId="9" hidden="1"/>
    <cellStyle name="Avattu hyperlinkki" xfId="276" builtinId="9" hidden="1"/>
    <cellStyle name="Avattu hyperlinkki" xfId="278" builtinId="9" hidden="1"/>
    <cellStyle name="Avattu hyperlinkki" xfId="280" builtinId="9" hidden="1"/>
    <cellStyle name="Avattu hyperlinkki" xfId="282" builtinId="9" hidden="1"/>
    <cellStyle name="Avattu hyperlinkki" xfId="284" builtinId="9" hidden="1"/>
    <cellStyle name="Avattu hyperlinkki" xfId="286" builtinId="9" hidden="1"/>
    <cellStyle name="Avattu hyperlinkki" xfId="288" builtinId="9" hidden="1"/>
    <cellStyle name="Avattu hyperlinkki" xfId="290" builtinId="9" hidden="1"/>
    <cellStyle name="Avattu hyperlinkki" xfId="292" builtinId="9" hidden="1"/>
    <cellStyle name="Avattu hyperlinkki" xfId="294" builtinId="9" hidden="1"/>
    <cellStyle name="Avattu hyperlinkki" xfId="296" builtinId="9" hidden="1"/>
    <cellStyle name="Avattu hyperlinkki" xfId="298" builtinId="9" hidden="1"/>
    <cellStyle name="Avattu hyperlinkki" xfId="300" builtinId="9" hidden="1"/>
    <cellStyle name="Avattu hyperlinkki" xfId="302" builtinId="9" hidden="1"/>
    <cellStyle name="Avattu hyperlinkki" xfId="304" builtinId="9" hidden="1"/>
    <cellStyle name="Avattu hyperlinkki" xfId="306" builtinId="9" hidden="1"/>
    <cellStyle name="Avattu hyperlinkki" xfId="308" builtinId="9" hidden="1"/>
    <cellStyle name="Avattu hyperlinkki" xfId="310" builtinId="9" hidden="1"/>
    <cellStyle name="Avattu hyperlinkki" xfId="312" builtinId="9" hidden="1"/>
    <cellStyle name="Avattu hyperlinkki" xfId="314" builtinId="9" hidden="1"/>
    <cellStyle name="Avattu hyperlinkki" xfId="316" builtinId="9" hidden="1"/>
    <cellStyle name="Avattu hyperlinkki" xfId="318" builtinId="9" hidden="1"/>
    <cellStyle name="Avattu hyperlinkki" xfId="320" builtinId="9" hidden="1"/>
    <cellStyle name="Avattu hyperlinkki" xfId="322" builtinId="9" hidden="1"/>
    <cellStyle name="Avattu hyperlinkki" xfId="324" builtinId="9" hidden="1"/>
    <cellStyle name="Avattu hyperlinkki" xfId="326" builtinId="9" hidden="1"/>
    <cellStyle name="Avattu hyperlinkki" xfId="328" builtinId="9" hidden="1"/>
    <cellStyle name="Avattu hyperlinkki" xfId="330" builtinId="9" hidden="1"/>
    <cellStyle name="Avattu hyperlinkki" xfId="332" builtinId="9" hidden="1"/>
    <cellStyle name="Avattu hyperlinkki" xfId="334" builtinId="9" hidden="1"/>
    <cellStyle name="Avattu hyperlinkki" xfId="336" builtinId="9" hidden="1"/>
    <cellStyle name="Avattu hyperlinkki" xfId="338" builtinId="9" hidden="1"/>
    <cellStyle name="Avattu hyperlinkki" xfId="340" builtinId="9" hidden="1"/>
    <cellStyle name="Avattu hyperlinkki" xfId="342" builtinId="9" hidden="1"/>
    <cellStyle name="Avattu hyperlinkki" xfId="344" builtinId="9" hidden="1"/>
    <cellStyle name="Avattu hyperlinkki" xfId="346" builtinId="9" hidden="1"/>
    <cellStyle name="Avattu hyperlinkki" xfId="348" builtinId="9" hidden="1"/>
    <cellStyle name="Avattu hyperlinkki" xfId="350" builtinId="9" hidden="1"/>
    <cellStyle name="Avattu hyperlinkki" xfId="352" builtinId="9" hidden="1"/>
    <cellStyle name="Avattu hyperlinkki" xfId="354" builtinId="9" hidden="1"/>
    <cellStyle name="Avattu hyperlinkki" xfId="356" builtinId="9" hidden="1"/>
    <cellStyle name="Avattu hyperlinkki" xfId="358" builtinId="9" hidden="1"/>
    <cellStyle name="Avattu hyperlinkki" xfId="360" builtinId="9" hidden="1"/>
    <cellStyle name="Avattu hyperlinkki" xfId="362" builtinId="9" hidden="1"/>
    <cellStyle name="Avattu hyperlinkki" xfId="364" builtinId="9" hidden="1"/>
    <cellStyle name="Avattu hyperlinkki" xfId="366" builtinId="9" hidden="1"/>
    <cellStyle name="Avattu hyperlinkki" xfId="368" builtinId="9" hidden="1"/>
    <cellStyle name="Avattu hyperlinkki" xfId="370" builtinId="9" hidden="1"/>
    <cellStyle name="Avattu hyperlinkki" xfId="372" builtinId="9" hidden="1"/>
    <cellStyle name="Avattu hyperlinkki" xfId="374" builtinId="9" hidden="1"/>
    <cellStyle name="Avattu hyperlinkki" xfId="376" builtinId="9" hidden="1"/>
    <cellStyle name="Avattu hyperlinkki" xfId="378" builtinId="9" hidden="1"/>
    <cellStyle name="Avattu hyperlinkki" xfId="380" builtinId="9" hidden="1"/>
    <cellStyle name="Avattu hyperlinkki" xfId="382" builtinId="9" hidden="1"/>
    <cellStyle name="Avattu hyperlinkki" xfId="384" builtinId="9" hidden="1"/>
    <cellStyle name="Avattu hyperlinkki" xfId="386" builtinId="9" hidden="1"/>
    <cellStyle name="Avattu hyperlinkki" xfId="388" builtinId="9" hidden="1"/>
    <cellStyle name="Avattu hyperlinkki" xfId="390" builtinId="9" hidden="1"/>
    <cellStyle name="Avattu hyperlinkki" xfId="392" builtinId="9" hidden="1"/>
    <cellStyle name="Avattu hyperlinkki" xfId="394" builtinId="9" hidden="1"/>
    <cellStyle name="Avattu hyperlinkki" xfId="396" builtinId="9" hidden="1"/>
    <cellStyle name="Avattu hyperlinkki" xfId="398" builtinId="9" hidden="1"/>
    <cellStyle name="Avattu hyperlinkki" xfId="400" builtinId="9" hidden="1"/>
    <cellStyle name="Avattu hyperlinkki" xfId="402" builtinId="9" hidden="1"/>
    <cellStyle name="Avattu hyperlinkki" xfId="404" builtinId="9" hidden="1"/>
    <cellStyle name="Avattu hyperlinkki" xfId="406" builtinId="9" hidden="1"/>
    <cellStyle name="Avattu hyperlinkki" xfId="408" builtinId="9" hidden="1"/>
    <cellStyle name="Avattu hyperlinkki" xfId="410" builtinId="9" hidden="1"/>
    <cellStyle name="Avattu hyperlinkki" xfId="412" builtinId="9" hidden="1"/>
    <cellStyle name="Avattu hyperlinkki" xfId="414" builtinId="9" hidden="1"/>
    <cellStyle name="Avattu hyperlinkki" xfId="416" builtinId="9" hidden="1"/>
    <cellStyle name="Avattu hyperlinkki" xfId="418" builtinId="9" hidden="1"/>
    <cellStyle name="Avattu hyperlinkki" xfId="420" builtinId="9" hidden="1"/>
    <cellStyle name="Avattu hyperlinkki" xfId="422" builtinId="9" hidden="1"/>
    <cellStyle name="Avattu hyperlinkki" xfId="424" builtinId="9" hidden="1"/>
    <cellStyle name="Avattu hyperlinkki" xfId="426" builtinId="9" hidden="1"/>
    <cellStyle name="Avattu hyperlinkki" xfId="428" builtinId="9" hidden="1"/>
    <cellStyle name="Avattu hyperlinkki" xfId="430" builtinId="9" hidden="1"/>
    <cellStyle name="Avattu hyperlinkki" xfId="432" builtinId="9" hidden="1"/>
    <cellStyle name="Avattu hyperlinkki" xfId="434" builtinId="9" hidden="1"/>
    <cellStyle name="Avattu hyperlinkki" xfId="436" builtinId="9" hidden="1"/>
    <cellStyle name="Avattu hyperlinkki" xfId="438" builtinId="9" hidden="1"/>
    <cellStyle name="Avattu hyperlinkki" xfId="440" builtinId="9" hidden="1"/>
    <cellStyle name="Avattu hyperlinkki" xfId="442" builtinId="9" hidden="1"/>
    <cellStyle name="Avattu hyperlinkki" xfId="444" builtinId="9" hidden="1"/>
    <cellStyle name="Avattu hyperlinkki" xfId="446" builtinId="9" hidden="1"/>
    <cellStyle name="Avattu hyperlinkki" xfId="448" builtinId="9" hidden="1"/>
    <cellStyle name="Hyperlinkki" xfId="1" builtinId="8" hidden="1"/>
    <cellStyle name="Hyperlinkki" xfId="3" builtinId="8" hidden="1"/>
    <cellStyle name="Hyperlinkki" xfId="5" builtinId="8" hidden="1"/>
    <cellStyle name="Hyperlinkki" xfId="7" builtinId="8" hidden="1"/>
    <cellStyle name="Hyperlinkki" xfId="9" builtinId="8" hidden="1"/>
    <cellStyle name="Hyperlinkki" xfId="11" builtinId="8" hidden="1"/>
    <cellStyle name="Hyperlinkki" xfId="13" builtinId="8" hidden="1"/>
    <cellStyle name="Hyperlinkki" xfId="15" builtinId="8" hidden="1"/>
    <cellStyle name="Hyperlinkki" xfId="17" builtinId="8" hidden="1"/>
    <cellStyle name="Hyperlinkki" xfId="19" builtinId="8" hidden="1"/>
    <cellStyle name="Hyperlinkki" xfId="21" builtinId="8" hidden="1"/>
    <cellStyle name="Hyperlinkki" xfId="23" builtinId="8" hidden="1"/>
    <cellStyle name="Hyperlinkki" xfId="25" builtinId="8" hidden="1"/>
    <cellStyle name="Hyperlinkki" xfId="27" builtinId="8" hidden="1"/>
    <cellStyle name="Hyperlinkki" xfId="29" builtinId="8" hidden="1"/>
    <cellStyle name="Hyperlinkki" xfId="31" builtinId="8" hidden="1"/>
    <cellStyle name="Hyperlinkki" xfId="33" builtinId="8" hidden="1"/>
    <cellStyle name="Hyperlinkki" xfId="35" builtinId="8" hidden="1"/>
    <cellStyle name="Hyperlinkki" xfId="37" builtinId="8" hidden="1"/>
    <cellStyle name="Hyperlinkki" xfId="39" builtinId="8" hidden="1"/>
    <cellStyle name="Hyperlinkki" xfId="41" builtinId="8" hidden="1"/>
    <cellStyle name="Hyperlinkki" xfId="43" builtinId="8" hidden="1"/>
    <cellStyle name="Hyperlinkki" xfId="45" builtinId="8" hidden="1"/>
    <cellStyle name="Hyperlinkki" xfId="47" builtinId="8" hidden="1"/>
    <cellStyle name="Hyperlinkki" xfId="49" builtinId="8" hidden="1"/>
    <cellStyle name="Hyperlinkki" xfId="51" builtinId="8" hidden="1"/>
    <cellStyle name="Hyperlinkki" xfId="53" builtinId="8" hidden="1"/>
    <cellStyle name="Hyperlinkki" xfId="55" builtinId="8" hidden="1"/>
    <cellStyle name="Hyperlinkki" xfId="57" builtinId="8" hidden="1"/>
    <cellStyle name="Hyperlinkki" xfId="59" builtinId="8" hidden="1"/>
    <cellStyle name="Hyperlinkki" xfId="61" builtinId="8" hidden="1"/>
    <cellStyle name="Hyperlinkki" xfId="63" builtinId="8" hidden="1"/>
    <cellStyle name="Hyperlinkki" xfId="65" builtinId="8" hidden="1"/>
    <cellStyle name="Hyperlinkki" xfId="67" builtinId="8" hidden="1"/>
    <cellStyle name="Hyperlinkki" xfId="69" builtinId="8" hidden="1"/>
    <cellStyle name="Hyperlinkki" xfId="71" builtinId="8" hidden="1"/>
    <cellStyle name="Hyperlinkki" xfId="73" builtinId="8" hidden="1"/>
    <cellStyle name="Hyperlinkki" xfId="75" builtinId="8" hidden="1"/>
    <cellStyle name="Hyperlinkki" xfId="77" builtinId="8" hidden="1"/>
    <cellStyle name="Hyperlinkki" xfId="79" builtinId="8" hidden="1"/>
    <cellStyle name="Hyperlinkki" xfId="81" builtinId="8" hidden="1"/>
    <cellStyle name="Hyperlinkki" xfId="83" builtinId="8" hidden="1"/>
    <cellStyle name="Hyperlinkki" xfId="85" builtinId="8" hidden="1"/>
    <cellStyle name="Hyperlinkki" xfId="87" builtinId="8" hidden="1"/>
    <cellStyle name="Hyperlinkki" xfId="89" builtinId="8" hidden="1"/>
    <cellStyle name="Hyperlinkki" xfId="91" builtinId="8" hidden="1"/>
    <cellStyle name="Hyperlinkki" xfId="93" builtinId="8" hidden="1"/>
    <cellStyle name="Hyperlinkki" xfId="95" builtinId="8" hidden="1"/>
    <cellStyle name="Hyperlinkki" xfId="97" builtinId="8" hidden="1"/>
    <cellStyle name="Hyperlinkki" xfId="99" builtinId="8" hidden="1"/>
    <cellStyle name="Hyperlinkki" xfId="101" builtinId="8" hidden="1"/>
    <cellStyle name="Hyperlinkki" xfId="103" builtinId="8" hidden="1"/>
    <cellStyle name="Hyperlinkki" xfId="105" builtinId="8" hidden="1"/>
    <cellStyle name="Hyperlinkki" xfId="107" builtinId="8" hidden="1"/>
    <cellStyle name="Hyperlinkki" xfId="109" builtinId="8" hidden="1"/>
    <cellStyle name="Hyperlinkki" xfId="111" builtinId="8" hidden="1"/>
    <cellStyle name="Hyperlinkki" xfId="113" builtinId="8" hidden="1"/>
    <cellStyle name="Hyperlinkki" xfId="115" builtinId="8" hidden="1"/>
    <cellStyle name="Hyperlinkki" xfId="117" builtinId="8" hidden="1"/>
    <cellStyle name="Hyperlinkki" xfId="119" builtinId="8" hidden="1"/>
    <cellStyle name="Hyperlinkki" xfId="121" builtinId="8" hidden="1"/>
    <cellStyle name="Hyperlinkki" xfId="123" builtinId="8" hidden="1"/>
    <cellStyle name="Hyperlinkki" xfId="125" builtinId="8" hidden="1"/>
    <cellStyle name="Hyperlinkki" xfId="127" builtinId="8" hidden="1"/>
    <cellStyle name="Hyperlinkki" xfId="129" builtinId="8" hidden="1"/>
    <cellStyle name="Hyperlinkki" xfId="131" builtinId="8" hidden="1"/>
    <cellStyle name="Hyperlinkki" xfId="133" builtinId="8" hidden="1"/>
    <cellStyle name="Hyperlinkki" xfId="135" builtinId="8" hidden="1"/>
    <cellStyle name="Hyperlinkki" xfId="137" builtinId="8" hidden="1"/>
    <cellStyle name="Hyperlinkki" xfId="139" builtinId="8" hidden="1"/>
    <cellStyle name="Hyperlinkki" xfId="141" builtinId="8" hidden="1"/>
    <cellStyle name="Hyperlinkki" xfId="143" builtinId="8" hidden="1"/>
    <cellStyle name="Hyperlinkki" xfId="145" builtinId="8" hidden="1"/>
    <cellStyle name="Hyperlinkki" xfId="147" builtinId="8" hidden="1"/>
    <cellStyle name="Hyperlinkki" xfId="149" builtinId="8" hidden="1"/>
    <cellStyle name="Hyperlinkki" xfId="151" builtinId="8" hidden="1"/>
    <cellStyle name="Hyperlinkki" xfId="153" builtinId="8" hidden="1"/>
    <cellStyle name="Hyperlinkki" xfId="155" builtinId="8" hidden="1"/>
    <cellStyle name="Hyperlinkki" xfId="157" builtinId="8" hidden="1"/>
    <cellStyle name="Hyperlinkki" xfId="159" builtinId="8" hidden="1"/>
    <cellStyle name="Hyperlinkki" xfId="161" builtinId="8" hidden="1"/>
    <cellStyle name="Hyperlinkki" xfId="163" builtinId="8" hidden="1"/>
    <cellStyle name="Hyperlinkki" xfId="165" builtinId="8" hidden="1"/>
    <cellStyle name="Hyperlinkki" xfId="167" builtinId="8" hidden="1"/>
    <cellStyle name="Hyperlinkki" xfId="169" builtinId="8" hidden="1"/>
    <cellStyle name="Hyperlinkki" xfId="171" builtinId="8" hidden="1"/>
    <cellStyle name="Hyperlinkki" xfId="173" builtinId="8" hidden="1"/>
    <cellStyle name="Hyperlinkki" xfId="175" builtinId="8" hidden="1"/>
    <cellStyle name="Hyperlinkki" xfId="177" builtinId="8" hidden="1"/>
    <cellStyle name="Hyperlinkki" xfId="179" builtinId="8" hidden="1"/>
    <cellStyle name="Hyperlinkki" xfId="181" builtinId="8" hidden="1"/>
    <cellStyle name="Hyperlinkki" xfId="183" builtinId="8" hidden="1"/>
    <cellStyle name="Hyperlinkki" xfId="185" builtinId="8" hidden="1"/>
    <cellStyle name="Hyperlinkki" xfId="187" builtinId="8" hidden="1"/>
    <cellStyle name="Hyperlinkki" xfId="189" builtinId="8" hidden="1"/>
    <cellStyle name="Hyperlinkki" xfId="191" builtinId="8" hidden="1"/>
    <cellStyle name="Hyperlinkki" xfId="193" builtinId="8" hidden="1"/>
    <cellStyle name="Hyperlinkki" xfId="195" builtinId="8" hidden="1"/>
    <cellStyle name="Hyperlinkki" xfId="197" builtinId="8" hidden="1"/>
    <cellStyle name="Hyperlinkki" xfId="199" builtinId="8" hidden="1"/>
    <cellStyle name="Hyperlinkki" xfId="201" builtinId="8" hidden="1"/>
    <cellStyle name="Hyperlinkki" xfId="203" builtinId="8" hidden="1"/>
    <cellStyle name="Hyperlinkki" xfId="205" builtinId="8" hidden="1"/>
    <cellStyle name="Hyperlinkki" xfId="207" builtinId="8" hidden="1"/>
    <cellStyle name="Hyperlinkki" xfId="209" builtinId="8" hidden="1"/>
    <cellStyle name="Hyperlinkki" xfId="211" builtinId="8" hidden="1"/>
    <cellStyle name="Hyperlinkki" xfId="213" builtinId="8" hidden="1"/>
    <cellStyle name="Hyperlinkki" xfId="215" builtinId="8" hidden="1"/>
    <cellStyle name="Hyperlinkki" xfId="217" builtinId="8" hidden="1"/>
    <cellStyle name="Hyperlinkki" xfId="219" builtinId="8" hidden="1"/>
    <cellStyle name="Hyperlinkki" xfId="221" builtinId="8" hidden="1"/>
    <cellStyle name="Hyperlinkki" xfId="223" builtinId="8" hidden="1"/>
    <cellStyle name="Hyperlinkki" xfId="225" builtinId="8" hidden="1"/>
    <cellStyle name="Hyperlinkki" xfId="227" builtinId="8" hidden="1"/>
    <cellStyle name="Hyperlinkki" xfId="229" builtinId="8" hidden="1"/>
    <cellStyle name="Hyperlinkki" xfId="231" builtinId="8" hidden="1"/>
    <cellStyle name="Hyperlinkki" xfId="233" builtinId="8" hidden="1"/>
    <cellStyle name="Hyperlinkki" xfId="235" builtinId="8" hidden="1"/>
    <cellStyle name="Hyperlinkki" xfId="237" builtinId="8" hidden="1"/>
    <cellStyle name="Hyperlinkki" xfId="239" builtinId="8" hidden="1"/>
    <cellStyle name="Hyperlinkki" xfId="241" builtinId="8" hidden="1"/>
    <cellStyle name="Hyperlinkki" xfId="243" builtinId="8" hidden="1"/>
    <cellStyle name="Hyperlinkki" xfId="245" builtinId="8" hidden="1"/>
    <cellStyle name="Hyperlinkki" xfId="247" builtinId="8" hidden="1"/>
    <cellStyle name="Hyperlinkki" xfId="249" builtinId="8" hidden="1"/>
    <cellStyle name="Hyperlinkki" xfId="251" builtinId="8" hidden="1"/>
    <cellStyle name="Hyperlinkki" xfId="253" builtinId="8" hidden="1"/>
    <cellStyle name="Hyperlinkki" xfId="255" builtinId="8" hidden="1"/>
    <cellStyle name="Hyperlinkki" xfId="257" builtinId="8" hidden="1"/>
    <cellStyle name="Hyperlinkki" xfId="259" builtinId="8" hidden="1"/>
    <cellStyle name="Hyperlinkki" xfId="261" builtinId="8" hidden="1"/>
    <cellStyle name="Hyperlinkki" xfId="263" builtinId="8" hidden="1"/>
    <cellStyle name="Hyperlinkki" xfId="265" builtinId="8" hidden="1"/>
    <cellStyle name="Hyperlinkki" xfId="267" builtinId="8" hidden="1"/>
    <cellStyle name="Hyperlinkki" xfId="269" builtinId="8" hidden="1"/>
    <cellStyle name="Hyperlinkki" xfId="271" builtinId="8" hidden="1"/>
    <cellStyle name="Hyperlinkki" xfId="273" builtinId="8" hidden="1"/>
    <cellStyle name="Hyperlinkki" xfId="275" builtinId="8" hidden="1"/>
    <cellStyle name="Hyperlinkki" xfId="277" builtinId="8" hidden="1"/>
    <cellStyle name="Hyperlinkki" xfId="279" builtinId="8" hidden="1"/>
    <cellStyle name="Hyperlinkki" xfId="281" builtinId="8" hidden="1"/>
    <cellStyle name="Hyperlinkki" xfId="283" builtinId="8" hidden="1"/>
    <cellStyle name="Hyperlinkki" xfId="285" builtinId="8" hidden="1"/>
    <cellStyle name="Hyperlinkki" xfId="287" builtinId="8" hidden="1"/>
    <cellStyle name="Hyperlinkki" xfId="289" builtinId="8" hidden="1"/>
    <cellStyle name="Hyperlinkki" xfId="291" builtinId="8" hidden="1"/>
    <cellStyle name="Hyperlinkki" xfId="293" builtinId="8" hidden="1"/>
    <cellStyle name="Hyperlinkki" xfId="295" builtinId="8" hidden="1"/>
    <cellStyle name="Hyperlinkki" xfId="297" builtinId="8" hidden="1"/>
    <cellStyle name="Hyperlinkki" xfId="299" builtinId="8" hidden="1"/>
    <cellStyle name="Hyperlinkki" xfId="301" builtinId="8" hidden="1"/>
    <cellStyle name="Hyperlinkki" xfId="303" builtinId="8" hidden="1"/>
    <cellStyle name="Hyperlinkki" xfId="305" builtinId="8" hidden="1"/>
    <cellStyle name="Hyperlinkki" xfId="307" builtinId="8" hidden="1"/>
    <cellStyle name="Hyperlinkki" xfId="309" builtinId="8" hidden="1"/>
    <cellStyle name="Hyperlinkki" xfId="311" builtinId="8" hidden="1"/>
    <cellStyle name="Hyperlinkki" xfId="313" builtinId="8" hidden="1"/>
    <cellStyle name="Hyperlinkki" xfId="315" builtinId="8" hidden="1"/>
    <cellStyle name="Hyperlinkki" xfId="317" builtinId="8" hidden="1"/>
    <cellStyle name="Hyperlinkki" xfId="319" builtinId="8" hidden="1"/>
    <cellStyle name="Hyperlinkki" xfId="321" builtinId="8" hidden="1"/>
    <cellStyle name="Hyperlinkki" xfId="323" builtinId="8" hidden="1"/>
    <cellStyle name="Hyperlinkki" xfId="325" builtinId="8" hidden="1"/>
    <cellStyle name="Hyperlinkki" xfId="327" builtinId="8" hidden="1"/>
    <cellStyle name="Hyperlinkki" xfId="329" builtinId="8" hidden="1"/>
    <cellStyle name="Hyperlinkki" xfId="331" builtinId="8" hidden="1"/>
    <cellStyle name="Hyperlinkki" xfId="333" builtinId="8" hidden="1"/>
    <cellStyle name="Hyperlinkki" xfId="335" builtinId="8" hidden="1"/>
    <cellStyle name="Hyperlinkki" xfId="337" builtinId="8" hidden="1"/>
    <cellStyle name="Hyperlinkki" xfId="339" builtinId="8" hidden="1"/>
    <cellStyle name="Hyperlinkki" xfId="341" builtinId="8" hidden="1"/>
    <cellStyle name="Hyperlinkki" xfId="343" builtinId="8" hidden="1"/>
    <cellStyle name="Hyperlinkki" xfId="345" builtinId="8" hidden="1"/>
    <cellStyle name="Hyperlinkki" xfId="347" builtinId="8" hidden="1"/>
    <cellStyle name="Hyperlinkki" xfId="349" builtinId="8" hidden="1"/>
    <cellStyle name="Hyperlinkki" xfId="351" builtinId="8" hidden="1"/>
    <cellStyle name="Hyperlinkki" xfId="353" builtinId="8" hidden="1"/>
    <cellStyle name="Hyperlinkki" xfId="355" builtinId="8" hidden="1"/>
    <cellStyle name="Hyperlinkki" xfId="357" builtinId="8" hidden="1"/>
    <cellStyle name="Hyperlinkki" xfId="359" builtinId="8" hidden="1"/>
    <cellStyle name="Hyperlinkki" xfId="361" builtinId="8" hidden="1"/>
    <cellStyle name="Hyperlinkki" xfId="363" builtinId="8" hidden="1"/>
    <cellStyle name="Hyperlinkki" xfId="365" builtinId="8" hidden="1"/>
    <cellStyle name="Hyperlinkki" xfId="367" builtinId="8" hidden="1"/>
    <cellStyle name="Hyperlinkki" xfId="369" builtinId="8" hidden="1"/>
    <cellStyle name="Hyperlinkki" xfId="371" builtinId="8" hidden="1"/>
    <cellStyle name="Hyperlinkki" xfId="373" builtinId="8" hidden="1"/>
    <cellStyle name="Hyperlinkki" xfId="375" builtinId="8" hidden="1"/>
    <cellStyle name="Hyperlinkki" xfId="377" builtinId="8" hidden="1"/>
    <cellStyle name="Hyperlinkki" xfId="379" builtinId="8" hidden="1"/>
    <cellStyle name="Hyperlinkki" xfId="381" builtinId="8" hidden="1"/>
    <cellStyle name="Hyperlinkki" xfId="383" builtinId="8" hidden="1"/>
    <cellStyle name="Hyperlinkki" xfId="385" builtinId="8" hidden="1"/>
    <cellStyle name="Hyperlinkki" xfId="387" builtinId="8" hidden="1"/>
    <cellStyle name="Hyperlinkki" xfId="389" builtinId="8" hidden="1"/>
    <cellStyle name="Hyperlinkki" xfId="391" builtinId="8" hidden="1"/>
    <cellStyle name="Hyperlinkki" xfId="393" builtinId="8" hidden="1"/>
    <cellStyle name="Hyperlinkki" xfId="395" builtinId="8" hidden="1"/>
    <cellStyle name="Hyperlinkki" xfId="397" builtinId="8" hidden="1"/>
    <cellStyle name="Hyperlinkki" xfId="399" builtinId="8" hidden="1"/>
    <cellStyle name="Hyperlinkki" xfId="401" builtinId="8" hidden="1"/>
    <cellStyle name="Hyperlinkki" xfId="403" builtinId="8" hidden="1"/>
    <cellStyle name="Hyperlinkki" xfId="405" builtinId="8" hidden="1"/>
    <cellStyle name="Hyperlinkki" xfId="407" builtinId="8" hidden="1"/>
    <cellStyle name="Hyperlinkki" xfId="409" builtinId="8" hidden="1"/>
    <cellStyle name="Hyperlinkki" xfId="411" builtinId="8" hidden="1"/>
    <cellStyle name="Hyperlinkki" xfId="413" builtinId="8" hidden="1"/>
    <cellStyle name="Hyperlinkki" xfId="415" builtinId="8" hidden="1"/>
    <cellStyle name="Hyperlinkki" xfId="417" builtinId="8" hidden="1"/>
    <cellStyle name="Hyperlinkki" xfId="419" builtinId="8" hidden="1"/>
    <cellStyle name="Hyperlinkki" xfId="421" builtinId="8" hidden="1"/>
    <cellStyle name="Hyperlinkki" xfId="423" builtinId="8" hidden="1"/>
    <cellStyle name="Hyperlinkki" xfId="425" builtinId="8" hidden="1"/>
    <cellStyle name="Hyperlinkki" xfId="427" builtinId="8" hidden="1"/>
    <cellStyle name="Hyperlinkki" xfId="429" builtinId="8" hidden="1"/>
    <cellStyle name="Hyperlinkki" xfId="431" builtinId="8" hidden="1"/>
    <cellStyle name="Hyperlinkki" xfId="433" builtinId="8" hidden="1"/>
    <cellStyle name="Hyperlinkki" xfId="435" builtinId="8" hidden="1"/>
    <cellStyle name="Hyperlinkki" xfId="437" builtinId="8" hidden="1"/>
    <cellStyle name="Hyperlinkki" xfId="439" builtinId="8" hidden="1"/>
    <cellStyle name="Hyperlinkki" xfId="441" builtinId="8" hidden="1"/>
    <cellStyle name="Hyperlinkki" xfId="443" builtinId="8" hidden="1"/>
    <cellStyle name="Hyperlinkki" xfId="445" builtinId="8" hidden="1"/>
    <cellStyle name="Hyperlinkki" xfId="447" builtinId="8" hidden="1"/>
    <cellStyle name="Hyperlinkki" xfId="449" builtinId="8"/>
    <cellStyle name="Normaali" xfId="0" builtinId="0"/>
  </cellStyles>
  <dxfs count="565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lohikaarmeenluola.fi/SRD_HTML/Hahmoluokat/Barbaari.php" TargetMode="External"/><Relationship Id="rId671" Type="http://schemas.openxmlformats.org/officeDocument/2006/relationships/hyperlink" Target="http://www.lohikaarmeenluola.fi/SRD_HTML/Valtit/Valtit.php" TargetMode="External"/><Relationship Id="rId21" Type="http://schemas.openxmlformats.org/officeDocument/2006/relationships/hyperlink" Target="http://www.lohikaarmeenluola.fi/SRD_HTML/S&amp;auml;&amp;auml;nt&amp;ouml;jen%20perusteet/S&amp;auml;&amp;auml;nt&amp;ouml;jen%20perusteet.php" TargetMode="External"/><Relationship Id="rId324" Type="http://schemas.openxmlformats.org/officeDocument/2006/relationships/hyperlink" Target="http://www.lohikaarmeenluola.fi/SRD_HTML/Varusteet%20ja%20erikoisaineet/Aseet.php" TargetMode="External"/><Relationship Id="rId531" Type="http://schemas.openxmlformats.org/officeDocument/2006/relationships/hyperlink" Target="http://www.lohikaarmeenluola.fi/SRD_HTML/Valtit/Valtit.php" TargetMode="External"/><Relationship Id="rId629" Type="http://schemas.openxmlformats.org/officeDocument/2006/relationships/hyperlink" Target="http://www.lohikaarmeenluola.fi/SRD_HTML/Valtit/Valtit.php" TargetMode="External"/><Relationship Id="rId170" Type="http://schemas.openxmlformats.org/officeDocument/2006/relationships/hyperlink" Target="http://www.lohikaarmeenluola.fi/SRD_HTML/Taidot/Esiintyminen.php" TargetMode="External"/><Relationship Id="rId268" Type="http://schemas.openxmlformats.org/officeDocument/2006/relationships/hyperlink" Target="http://www.lohikaarmeenluola.fi/SRD_HTML/Varusteet%20ja%20erikoisaineet/Aseet.php" TargetMode="External"/><Relationship Id="rId475" Type="http://schemas.openxmlformats.org/officeDocument/2006/relationships/hyperlink" Target="http://www.lohikaarmeenluola.fi/SRD_HTML/Valtit/Valtit.php" TargetMode="External"/><Relationship Id="rId32" Type="http://schemas.openxmlformats.org/officeDocument/2006/relationships/hyperlink" Target="http://www.lohikaarmeenluola.fi/SRD_HTML/Taistelu/Taistelumuuntimet.php" TargetMode="External"/><Relationship Id="rId128" Type="http://schemas.openxmlformats.org/officeDocument/2006/relationships/hyperlink" Target="http://www.lohikaarmeenluola.fi/SRD_HTML/Loitsut/Jumalsuosio.php" TargetMode="External"/><Relationship Id="rId335" Type="http://schemas.openxmlformats.org/officeDocument/2006/relationships/hyperlink" Target="http://www.lohikaarmeenluola.fi/SRD_HTML/Varusteet%20ja%20erikoisaineet/Aseet.php" TargetMode="External"/><Relationship Id="rId542" Type="http://schemas.openxmlformats.org/officeDocument/2006/relationships/hyperlink" Target="http://www.lohikaarmeenluola.fi/SRD_HTML/Valtit/Valtit.php" TargetMode="External"/><Relationship Id="rId181" Type="http://schemas.openxmlformats.org/officeDocument/2006/relationships/hyperlink" Target="http://www.lohikaarmeenluola.fi/SRD_HTML/Taidot/Kirjoituksen%20tulkinta.php" TargetMode="External"/><Relationship Id="rId402" Type="http://schemas.openxmlformats.org/officeDocument/2006/relationships/hyperlink" Target="http://www.lohikaarmeenluola.fi/SRD_HTML/Valtit/Valtit.php" TargetMode="External"/><Relationship Id="rId279" Type="http://schemas.openxmlformats.org/officeDocument/2006/relationships/hyperlink" Target="http://www.lohikaarmeenluola.fi/SRD_HTML/Varusteet%20ja%20erikoisaineet/Aseet.php" TargetMode="External"/><Relationship Id="rId486" Type="http://schemas.openxmlformats.org/officeDocument/2006/relationships/hyperlink" Target="http://www.lohikaarmeenluola.fi/SRD_HTML/Valtit/Valtit.php" TargetMode="External"/><Relationship Id="rId43" Type="http://schemas.openxmlformats.org/officeDocument/2006/relationships/hyperlink" Target="http://www.lohikaarmeenluola.fi/SRD_HTML/Taikuus/Loitsujen%20langetus.php" TargetMode="External"/><Relationship Id="rId139" Type="http://schemas.openxmlformats.org/officeDocument/2006/relationships/hyperlink" Target="http://www.lohikaarmeenluola.fi/SRD_HTML/Loitsut/Nopeutus.php" TargetMode="External"/><Relationship Id="rId346" Type="http://schemas.openxmlformats.org/officeDocument/2006/relationships/hyperlink" Target="http://www.lohikaarmeenluola.fi/SRD_HTML/Varusteet%20ja%20erikoisaineet/Aseet.php" TargetMode="External"/><Relationship Id="rId553" Type="http://schemas.openxmlformats.org/officeDocument/2006/relationships/hyperlink" Target="http://www.lohikaarmeenluola.fi/SRD_HTML/Valtit/Valtit.php" TargetMode="External"/><Relationship Id="rId192" Type="http://schemas.openxmlformats.org/officeDocument/2006/relationships/hyperlink" Target="http://www.lohikaarmeenluola.fi/SRD_HTML/Taidot/Parannus.php" TargetMode="External"/><Relationship Id="rId206" Type="http://schemas.openxmlformats.org/officeDocument/2006/relationships/hyperlink" Target="http://www.lohikaarmeenluola.fi/SRD_HTML/Taidot/Tiet&amp;auml;mys.php" TargetMode="External"/><Relationship Id="rId413" Type="http://schemas.openxmlformats.org/officeDocument/2006/relationships/hyperlink" Target="http://www.lohikaarmeenluola.fi/SRD_HTML/Valtit/Valtit.php" TargetMode="External"/><Relationship Id="rId497" Type="http://schemas.openxmlformats.org/officeDocument/2006/relationships/hyperlink" Target="http://www.lohikaarmeenluola.fi/SRD_HTML/Valtit/Valtit.php" TargetMode="External"/><Relationship Id="rId620" Type="http://schemas.openxmlformats.org/officeDocument/2006/relationships/hyperlink" Target="http://www.lohikaarmeenluola.fi/SRD_HTML/Valtit/Valtit.php" TargetMode="External"/><Relationship Id="rId357" Type="http://schemas.openxmlformats.org/officeDocument/2006/relationships/hyperlink" Target="http://www.lohikaarmeenluola.fi/SRD_HTML/Valtit/Valtit.php" TargetMode="External"/><Relationship Id="rId54" Type="http://schemas.openxmlformats.org/officeDocument/2006/relationships/hyperlink" Target="http://www.lohikaarmeenluola.fi/SRD_HTML/Olotilat/Olotilojen%20yhteenveto.php" TargetMode="External"/><Relationship Id="rId217" Type="http://schemas.openxmlformats.org/officeDocument/2006/relationships/hyperlink" Target="http://www.lohikaarmeenluola.fi/SRD_HTML/Varusteet%20ja%20erikoisaineet/Aseet.php" TargetMode="External"/><Relationship Id="rId564" Type="http://schemas.openxmlformats.org/officeDocument/2006/relationships/hyperlink" Target="http://www.lohikaarmeenluola.fi/SRD_HTML/Valtit/Valtit.php" TargetMode="External"/><Relationship Id="rId424" Type="http://schemas.openxmlformats.org/officeDocument/2006/relationships/hyperlink" Target="http://www.lohikaarmeenluola.fi/SRD_HTML/Valtit/Valtit.php" TargetMode="External"/><Relationship Id="rId631" Type="http://schemas.openxmlformats.org/officeDocument/2006/relationships/hyperlink" Target="http://www.lohikaarmeenluola.fi/SRD_HTML/Valtit/Valtit.php" TargetMode="External"/><Relationship Id="rId270" Type="http://schemas.openxmlformats.org/officeDocument/2006/relationships/hyperlink" Target="http://www.lohikaarmeenluola.fi/SRD_HTML/Varusteet%20ja%20erikoisaineet/Aseet.php" TargetMode="External"/><Relationship Id="rId65" Type="http://schemas.openxmlformats.org/officeDocument/2006/relationships/hyperlink" Target="http://www.lohikaarmeenluola.fi/SRD_HTML/Olotilat/Olotilojen%20yhteenveto.php" TargetMode="External"/><Relationship Id="rId130" Type="http://schemas.openxmlformats.org/officeDocument/2006/relationships/hyperlink" Target="http://www.lohikaarmeenluola.fi/SRD_HTML/Loitsut/Karhunsitkeys.php" TargetMode="External"/><Relationship Id="rId368" Type="http://schemas.openxmlformats.org/officeDocument/2006/relationships/hyperlink" Target="http://www.lohikaarmeenluola.fi/SRD_HTML/Valtit/Valtit.php" TargetMode="External"/><Relationship Id="rId575" Type="http://schemas.openxmlformats.org/officeDocument/2006/relationships/hyperlink" Target="http://www.lohikaarmeenluola.fi/SRD_HTML/Valtit/Valtit.php" TargetMode="External"/><Relationship Id="rId228" Type="http://schemas.openxmlformats.org/officeDocument/2006/relationships/hyperlink" Target="http://www.lohikaarmeenluola.fi/SRD_HTML/Varusteet%20ja%20erikoisaineet/Aseet.php" TargetMode="External"/><Relationship Id="rId435" Type="http://schemas.openxmlformats.org/officeDocument/2006/relationships/hyperlink" Target="http://www.lohikaarmeenluola.fi/SRD_HTML/Valtit/Valtit.php" TargetMode="External"/><Relationship Id="rId642" Type="http://schemas.openxmlformats.org/officeDocument/2006/relationships/hyperlink" Target="http://www.lohikaarmeenluola.fi/SRD_HTML/Valtit/Valtit.php" TargetMode="External"/><Relationship Id="rId281" Type="http://schemas.openxmlformats.org/officeDocument/2006/relationships/hyperlink" Target="http://www.lohikaarmeenluola.fi/SRD_HTML/Varusteet%20ja%20erikoisaineet/Aseet.php" TargetMode="External"/><Relationship Id="rId502" Type="http://schemas.openxmlformats.org/officeDocument/2006/relationships/hyperlink" Target="http://www.lohikaarmeenluola.fi/SRD_HTML/Valtit/Valtit.php" TargetMode="External"/><Relationship Id="rId76" Type="http://schemas.openxmlformats.org/officeDocument/2006/relationships/hyperlink" Target="http://www.lohikaarmeenluola.fi/SRD_HTML/Valtit/Valtit.php" TargetMode="External"/><Relationship Id="rId141" Type="http://schemas.openxmlformats.org/officeDocument/2006/relationships/hyperlink" Target="http://www.lohikaarmeenluola.fi/SRD_HTML/Loitsut/P&amp;ouml;ll&amp;ouml;nviisaus.php" TargetMode="External"/><Relationship Id="rId379" Type="http://schemas.openxmlformats.org/officeDocument/2006/relationships/hyperlink" Target="http://www.lohikaarmeenluola.fi/SRD_HTML/Valtit/Valtit.php" TargetMode="External"/><Relationship Id="rId586" Type="http://schemas.openxmlformats.org/officeDocument/2006/relationships/hyperlink" Target="http://www.lohikaarmeenluola.fi/SRD_HTML/Valtit/Valtit.php" TargetMode="External"/><Relationship Id="rId7" Type="http://schemas.openxmlformats.org/officeDocument/2006/relationships/hyperlink" Target="http://www.lohikaarmeenluola.fi/SRD_HTML/Taistelu/Ilmaishy&amp;ouml;kk&amp;auml;ykset.php" TargetMode="External"/><Relationship Id="rId239" Type="http://schemas.openxmlformats.org/officeDocument/2006/relationships/hyperlink" Target="http://www.lohikaarmeenluola.fi/SRD_HTML/Varusteet%20ja%20erikoisaineet/Aseet.php" TargetMode="External"/><Relationship Id="rId446" Type="http://schemas.openxmlformats.org/officeDocument/2006/relationships/hyperlink" Target="http://www.lohikaarmeenluola.fi/SRD_HTML/Valtit/Valtit.php" TargetMode="External"/><Relationship Id="rId653" Type="http://schemas.openxmlformats.org/officeDocument/2006/relationships/hyperlink" Target="http://www.lohikaarmeenluola.fi/SRD_HTML/Valtit/Valtit.php" TargetMode="External"/><Relationship Id="rId292" Type="http://schemas.openxmlformats.org/officeDocument/2006/relationships/hyperlink" Target="http://www.lohikaarmeenluola.fi/SRD_HTML/Varusteet%20ja%20erikoisaineet/Aseet.php" TargetMode="External"/><Relationship Id="rId306" Type="http://schemas.openxmlformats.org/officeDocument/2006/relationships/hyperlink" Target="http://www.lohikaarmeenluola.fi/SRD_HTML/Varusteet%20ja%20erikoisaineet/Aseet.php" TargetMode="External"/><Relationship Id="rId87" Type="http://schemas.openxmlformats.org/officeDocument/2006/relationships/hyperlink" Target="http://www.lohikaarmeenluola.fi/SRD_HTML/Valtit/Valtit.php" TargetMode="External"/><Relationship Id="rId513" Type="http://schemas.openxmlformats.org/officeDocument/2006/relationships/hyperlink" Target="http://www.lohikaarmeenluola.fi/SRD_HTML/Valtit/Valtit.php" TargetMode="External"/><Relationship Id="rId597" Type="http://schemas.openxmlformats.org/officeDocument/2006/relationships/hyperlink" Target="http://www.lohikaarmeenluola.fi/SRD_HTML/Valtit/Valtit.php" TargetMode="External"/><Relationship Id="rId152" Type="http://schemas.openxmlformats.org/officeDocument/2006/relationships/hyperlink" Target="http://www.lohikaarmeenluola.fi/SRD_HTML/Loitsut/V&amp;auml;ikynt&amp;auml;.php" TargetMode="External"/><Relationship Id="rId457" Type="http://schemas.openxmlformats.org/officeDocument/2006/relationships/hyperlink" Target="http://www.lohikaarmeenluola.fi/SRD_HTML/Valtit/Valtit.php" TargetMode="External"/><Relationship Id="rId664" Type="http://schemas.openxmlformats.org/officeDocument/2006/relationships/hyperlink" Target="http://www.lohikaarmeenluola.fi/SRD_HTML/Valtit/Valtit.php" TargetMode="External"/><Relationship Id="rId14" Type="http://schemas.openxmlformats.org/officeDocument/2006/relationships/hyperlink" Target="http://www.lohikaarmeenluola.fi/SRD_HTML/S&amp;auml;&amp;auml;nt&amp;ouml;jen%20perusteet/S&amp;auml;&amp;auml;nt&amp;ouml;jen%20perusteet.php" TargetMode="External"/><Relationship Id="rId317" Type="http://schemas.openxmlformats.org/officeDocument/2006/relationships/hyperlink" Target="http://www.lohikaarmeenluola.fi/SRD_HTML/Varusteet%20ja%20erikoisaineet/Aseet.php" TargetMode="External"/><Relationship Id="rId524" Type="http://schemas.openxmlformats.org/officeDocument/2006/relationships/hyperlink" Target="http://www.lohikaarmeenluola.fi/SRD_HTML/Valtit/Valtit.php" TargetMode="External"/><Relationship Id="rId98" Type="http://schemas.openxmlformats.org/officeDocument/2006/relationships/hyperlink" Target="http://www.lohikaarmeenluola.fi/SRD_HTML/Valtit/Valtit.php" TargetMode="External"/><Relationship Id="rId163" Type="http://schemas.openxmlformats.org/officeDocument/2006/relationships/hyperlink" Target="http://www.lohikaarmeenluola.fi/SRD_HTML/Taidot/El&amp;auml;intenk&amp;auml;sittely.php" TargetMode="External"/><Relationship Id="rId370" Type="http://schemas.openxmlformats.org/officeDocument/2006/relationships/hyperlink" Target="http://www.lohikaarmeenluola.fi/SRD_HTML/Valtit/Valtit.php" TargetMode="External"/><Relationship Id="rId230" Type="http://schemas.openxmlformats.org/officeDocument/2006/relationships/hyperlink" Target="http://www.lohikaarmeenluola.fi/SRD_HTML/Taistelu/Erikoishy&amp;ouml;kk&amp;auml;ykset.php" TargetMode="External"/><Relationship Id="rId468" Type="http://schemas.openxmlformats.org/officeDocument/2006/relationships/hyperlink" Target="http://www.lohikaarmeenluola.fi/SRD_HTML/Valtit/Valtit.php" TargetMode="External"/><Relationship Id="rId25" Type="http://schemas.openxmlformats.org/officeDocument/2006/relationships/hyperlink" Target="http://www.lohikaarmeenluola.fi/SRD_HTML/S&amp;auml;&amp;auml;nt&amp;ouml;jen%20perusteet/S&amp;auml;&amp;auml;nt&amp;ouml;jen%20perusteet.php" TargetMode="External"/><Relationship Id="rId328" Type="http://schemas.openxmlformats.org/officeDocument/2006/relationships/hyperlink" Target="http://www.lohikaarmeenluola.fi/SRD_HTML/Varusteet%20ja%20erikoisaineet/Aseet.php" TargetMode="External"/><Relationship Id="rId535" Type="http://schemas.openxmlformats.org/officeDocument/2006/relationships/hyperlink" Target="http://www.lohikaarmeenluola.fi/SRD_HTML/Valtit/Valtit.php" TargetMode="External"/><Relationship Id="rId174" Type="http://schemas.openxmlformats.org/officeDocument/2006/relationships/hyperlink" Target="http://www.lohikaarmeenluola.fi/SRD_HTML/Taidot/Esiintyminen.php" TargetMode="External"/><Relationship Id="rId381" Type="http://schemas.openxmlformats.org/officeDocument/2006/relationships/hyperlink" Target="http://www.lohikaarmeenluola.fi/SRD_HTML/Valtit/Valtit.php" TargetMode="External"/><Relationship Id="rId602" Type="http://schemas.openxmlformats.org/officeDocument/2006/relationships/hyperlink" Target="http://www.lohikaarmeenluola.fi/SRD_HTML/Valtit/Valtit.php" TargetMode="External"/><Relationship Id="rId241" Type="http://schemas.openxmlformats.org/officeDocument/2006/relationships/hyperlink" Target="http://www.lohikaarmeenluola.fi/SRD_HTML/Varusteet%20ja%20erikoisaineet/Aseet.php" TargetMode="External"/><Relationship Id="rId479" Type="http://schemas.openxmlformats.org/officeDocument/2006/relationships/hyperlink" Target="http://www.lohikaarmeenluola.fi/SRD_HTML/Valtit/Valtit.php" TargetMode="External"/><Relationship Id="rId36" Type="http://schemas.openxmlformats.org/officeDocument/2006/relationships/hyperlink" Target="http://www.lohikaarmeenluola.fi/SRD_HTML/Erikoiskyvyt/Erikoiskyvyt.php" TargetMode="External"/><Relationship Id="rId339" Type="http://schemas.openxmlformats.org/officeDocument/2006/relationships/hyperlink" Target="http://www.lohikaarmeenluola.fi/SRD_HTML/Varusteet%20ja%20erikoisaineet/Aseet.php" TargetMode="External"/><Relationship Id="rId546" Type="http://schemas.openxmlformats.org/officeDocument/2006/relationships/hyperlink" Target="http://www.lohikaarmeenluola.fi/SRD_HTML/Valtit/Valtit.php" TargetMode="External"/><Relationship Id="rId101" Type="http://schemas.openxmlformats.org/officeDocument/2006/relationships/hyperlink" Target="http://www.lohikaarmeenluola.fi/SRD_HTML/Valtit/Valtit.php" TargetMode="External"/><Relationship Id="rId185" Type="http://schemas.openxmlformats.org/officeDocument/2006/relationships/hyperlink" Target="http://www.lohikaarmeenluola.fi/SRD_HTML/Taidot/K&amp;auml;sity&amp;ouml;l&amp;auml;isyys.php" TargetMode="External"/><Relationship Id="rId406" Type="http://schemas.openxmlformats.org/officeDocument/2006/relationships/hyperlink" Target="http://www.lohikaarmeenluola.fi/SRD_HTML/Valtit/Valtit.php" TargetMode="External"/><Relationship Id="rId392" Type="http://schemas.openxmlformats.org/officeDocument/2006/relationships/hyperlink" Target="http://www.lohikaarmeenluola.fi/SRD_HTML/Valtit/Valtit.php" TargetMode="External"/><Relationship Id="rId613" Type="http://schemas.openxmlformats.org/officeDocument/2006/relationships/hyperlink" Target="http://www.lohikaarmeenluola.fi/SRD_HTML/Valtit/Valtit.php" TargetMode="External"/><Relationship Id="rId252" Type="http://schemas.openxmlformats.org/officeDocument/2006/relationships/hyperlink" Target="http://www.lohikaarmeenluola.fi/SRD_HTML/Varusteet%20ja%20erikoisaineet/Aseet.php" TargetMode="External"/><Relationship Id="rId47" Type="http://schemas.openxmlformats.org/officeDocument/2006/relationships/hyperlink" Target="http://www.lohikaarmeenluola.fi/SRD_HTML/Taistelu/Taistelumuuntimet.php" TargetMode="External"/><Relationship Id="rId112" Type="http://schemas.openxmlformats.org/officeDocument/2006/relationships/hyperlink" Target="http://www.lohikaarmeenluola.fi/SRD_HTML/Hahmoluokat/Bardi.php" TargetMode="External"/><Relationship Id="rId557" Type="http://schemas.openxmlformats.org/officeDocument/2006/relationships/hyperlink" Target="http://www.lohikaarmeenluola.fi/SRD_HTML/Valtit/Valtit.php" TargetMode="External"/><Relationship Id="rId196" Type="http://schemas.openxmlformats.org/officeDocument/2006/relationships/hyperlink" Target="http://www.lohikaarmeenluola.fi/SRD_HTML/Taidot/Taikaesineen%20k&amp;auml;ytt&amp;ouml;.php" TargetMode="External"/><Relationship Id="rId417" Type="http://schemas.openxmlformats.org/officeDocument/2006/relationships/hyperlink" Target="http://www.lohikaarmeenluola.fi/SRD_HTML/Valtit/Valtit.php" TargetMode="External"/><Relationship Id="rId624" Type="http://schemas.openxmlformats.org/officeDocument/2006/relationships/hyperlink" Target="http://www.lohikaarmeenluola.fi/SRD_HTML/Valtit/Valtit.php" TargetMode="External"/><Relationship Id="rId263" Type="http://schemas.openxmlformats.org/officeDocument/2006/relationships/hyperlink" Target="http://www.lohikaarmeenluola.fi/SRD_HTML/Varusteet%20ja%20erikoisaineet/Aseet.php" TargetMode="External"/><Relationship Id="rId470" Type="http://schemas.openxmlformats.org/officeDocument/2006/relationships/hyperlink" Target="http://www.lohikaarmeenluola.fi/SRD_HTML/Valtit/Valtit.php" TargetMode="External"/><Relationship Id="rId58" Type="http://schemas.openxmlformats.org/officeDocument/2006/relationships/hyperlink" Target="http://www.lohikaarmeenluola.fi/SRD_HTML/Olotilat/Olotilojen%20yhteenveto.php" TargetMode="External"/><Relationship Id="rId123" Type="http://schemas.openxmlformats.org/officeDocument/2006/relationships/hyperlink" Target="http://www.lohikaarmeenluola.fi/SRD_HTML/Valtit/Valtit.php" TargetMode="External"/><Relationship Id="rId330" Type="http://schemas.openxmlformats.org/officeDocument/2006/relationships/hyperlink" Target="http://www.lohikaarmeenluola.fi/SRD_HTML/Varusteet%20ja%20erikoisaineet/Aseet.php" TargetMode="External"/><Relationship Id="rId568" Type="http://schemas.openxmlformats.org/officeDocument/2006/relationships/hyperlink" Target="http://www.lohikaarmeenluola.fi/SRD_HTML/Valtit/Valtit.php" TargetMode="External"/><Relationship Id="rId428" Type="http://schemas.openxmlformats.org/officeDocument/2006/relationships/hyperlink" Target="http://www.lohikaarmeenluola.fi/SRD_HTML/Valtit/Valtit.php" TargetMode="External"/><Relationship Id="rId635" Type="http://schemas.openxmlformats.org/officeDocument/2006/relationships/hyperlink" Target="http://www.lohikaarmeenluola.fi/SRD_HTML/Valtit/Valtit.php" TargetMode="External"/><Relationship Id="rId274" Type="http://schemas.openxmlformats.org/officeDocument/2006/relationships/hyperlink" Target="http://www.lohikaarmeenluola.fi/SRD_HTML/Taikuus/Loitsukuvaukset.php" TargetMode="External"/><Relationship Id="rId481" Type="http://schemas.openxmlformats.org/officeDocument/2006/relationships/hyperlink" Target="http://www.lohikaarmeenluola.fi/SRD_HTML/Valtit/Valtit.php" TargetMode="External"/><Relationship Id="rId69" Type="http://schemas.openxmlformats.org/officeDocument/2006/relationships/hyperlink" Target="http://www.lohikaarmeenluola.fi/SRD_HTML/Olotilat/Olotilojen%20yhteenveto.php" TargetMode="External"/><Relationship Id="rId134" Type="http://schemas.openxmlformats.org/officeDocument/2006/relationships/hyperlink" Target="http://www.lohikaarmeenluola.fi/SRD_HTML/Loitsut/Konkarinaskel.php" TargetMode="External"/><Relationship Id="rId579" Type="http://schemas.openxmlformats.org/officeDocument/2006/relationships/hyperlink" Target="http://www.lohikaarmeenluola.fi/SRD_HTML/Valtit/Valtit.php" TargetMode="External"/><Relationship Id="rId341" Type="http://schemas.openxmlformats.org/officeDocument/2006/relationships/hyperlink" Target="http://www.lohikaarmeenluola.fi/SRD_HTML/Varusteet%20ja%20erikoisaineet/Aseet.php" TargetMode="External"/><Relationship Id="rId439" Type="http://schemas.openxmlformats.org/officeDocument/2006/relationships/hyperlink" Target="http://www.lohikaarmeenluola.fi/SRD_HTML/Valtit/Valtit.php" TargetMode="External"/><Relationship Id="rId646" Type="http://schemas.openxmlformats.org/officeDocument/2006/relationships/hyperlink" Target="http://www.lohikaarmeenluola.fi/SRD_HTML/Valtit/Valtit.php" TargetMode="External"/><Relationship Id="rId201" Type="http://schemas.openxmlformats.org/officeDocument/2006/relationships/hyperlink" Target="http://www.lohikaarmeenluola.fi/SRD_HTML/Taidot/Tiet&amp;auml;mys.php" TargetMode="External"/><Relationship Id="rId243" Type="http://schemas.openxmlformats.org/officeDocument/2006/relationships/hyperlink" Target="http://www.lohikaarmeenluola.fi/SRD_HTML/Varusteet%20ja%20erikoisaineet/Aseet.php" TargetMode="External"/><Relationship Id="rId285" Type="http://schemas.openxmlformats.org/officeDocument/2006/relationships/hyperlink" Target="http://www.lohikaarmeenluola.fi/SRD_HTML/Varusteet%20ja%20erikoisaineet/Aseet.php" TargetMode="External"/><Relationship Id="rId450" Type="http://schemas.openxmlformats.org/officeDocument/2006/relationships/hyperlink" Target="http://www.lohikaarmeenluola.fi/SRD_HTML/Valtit/Valtit.php" TargetMode="External"/><Relationship Id="rId506" Type="http://schemas.openxmlformats.org/officeDocument/2006/relationships/hyperlink" Target="http://www.lohikaarmeenluola.fi/SRD_HTML/Valtit/Valtit.php" TargetMode="External"/><Relationship Id="rId38" Type="http://schemas.openxmlformats.org/officeDocument/2006/relationships/hyperlink" Target="http://www.lohikaarmeenluola.fi/SRD_HTML/Taistelu/Taistelun%20k&amp;auml;sitteet.php" TargetMode="External"/><Relationship Id="rId103" Type="http://schemas.openxmlformats.org/officeDocument/2006/relationships/hyperlink" Target="http://www.lohikaarmeenluola.fi/SRD_HTML/Valtit/Valtit.php" TargetMode="External"/><Relationship Id="rId310" Type="http://schemas.openxmlformats.org/officeDocument/2006/relationships/hyperlink" Target="http://www.lohikaarmeenluola.fi/SRD_HTML/Varusteet%20ja%20erikoisaineet/Aseet.php" TargetMode="External"/><Relationship Id="rId492" Type="http://schemas.openxmlformats.org/officeDocument/2006/relationships/hyperlink" Target="http://www.lohikaarmeenluola.fi/SRD_HTML/Valtit/Valtit.php" TargetMode="External"/><Relationship Id="rId548" Type="http://schemas.openxmlformats.org/officeDocument/2006/relationships/hyperlink" Target="http://www.lohikaarmeenluola.fi/SRD_HTML/Valtit/Valtit.php" TargetMode="External"/><Relationship Id="rId91" Type="http://schemas.openxmlformats.org/officeDocument/2006/relationships/hyperlink" Target="http://www.lohikaarmeenluola.fi/SRD_HTML/Valtit/Valtit.php" TargetMode="External"/><Relationship Id="rId145" Type="http://schemas.openxmlformats.org/officeDocument/2006/relationships/hyperlink" Target="http://www.lohikaarmeenluola.fi/SRD_HTML/Loitsut/Sankaruus.php" TargetMode="External"/><Relationship Id="rId187" Type="http://schemas.openxmlformats.org/officeDocument/2006/relationships/hyperlink" Target="http://www.lohikaarmeenluola.fi/SRD_HTML/Taidot/K&amp;ouml;ydenk&amp;auml;ytt&amp;ouml;.php" TargetMode="External"/><Relationship Id="rId352" Type="http://schemas.openxmlformats.org/officeDocument/2006/relationships/hyperlink" Target="http://www.lohikaarmeenluola.fi/SRD_HTML/Valtit/Valtit.php" TargetMode="External"/><Relationship Id="rId394" Type="http://schemas.openxmlformats.org/officeDocument/2006/relationships/hyperlink" Target="http://www.lohikaarmeenluola.fi/SRD_HTML/Valtit/Valtit.php" TargetMode="External"/><Relationship Id="rId408" Type="http://schemas.openxmlformats.org/officeDocument/2006/relationships/hyperlink" Target="http://www.lohikaarmeenluola.fi/SRD_HTML/Valtit/Valtit.php" TargetMode="External"/><Relationship Id="rId615" Type="http://schemas.openxmlformats.org/officeDocument/2006/relationships/hyperlink" Target="http://www.lohikaarmeenluola.fi/SRD_HTML/Valtit/Valtit.php" TargetMode="External"/><Relationship Id="rId212" Type="http://schemas.openxmlformats.org/officeDocument/2006/relationships/hyperlink" Target="http://www.lohikaarmeenluola.fi/SRD_HTML/Taidot/V&amp;auml;&amp;auml;rennys.php" TargetMode="External"/><Relationship Id="rId254" Type="http://schemas.openxmlformats.org/officeDocument/2006/relationships/hyperlink" Target="http://www.lohikaarmeenluola.fi/SRD_HTML/Varusteet%20ja%20erikoisaineet/Aseet.php" TargetMode="External"/><Relationship Id="rId657" Type="http://schemas.openxmlformats.org/officeDocument/2006/relationships/hyperlink" Target="http://www.lohikaarmeenluola.fi/SRD_HTML/Valtit/Valtit.php" TargetMode="External"/><Relationship Id="rId49" Type="http://schemas.openxmlformats.org/officeDocument/2006/relationships/hyperlink" Target="http://www.lohikaarmeenluola.fi/SRD_HTML/Olotilat/Olotilojen%20yhteenveto.php" TargetMode="External"/><Relationship Id="rId114" Type="http://schemas.openxmlformats.org/officeDocument/2006/relationships/hyperlink" Target="http://www.lohikaarmeenluola.fi/SRD_HTML/Hahmoluokat/Bardi.php" TargetMode="External"/><Relationship Id="rId296" Type="http://schemas.openxmlformats.org/officeDocument/2006/relationships/hyperlink" Target="http://www.lohikaarmeenluola.fi/SRD_HTML/Varusteet%20ja%20erikoisaineet/Aseet.php" TargetMode="External"/><Relationship Id="rId461" Type="http://schemas.openxmlformats.org/officeDocument/2006/relationships/hyperlink" Target="http://www.lohikaarmeenluola.fi/SRD_HTML/Valtit/Valtit.php" TargetMode="External"/><Relationship Id="rId517" Type="http://schemas.openxmlformats.org/officeDocument/2006/relationships/hyperlink" Target="http://www.lohikaarmeenluola.fi/SRD_HTML/Valtit/Valtit.php" TargetMode="External"/><Relationship Id="rId559" Type="http://schemas.openxmlformats.org/officeDocument/2006/relationships/hyperlink" Target="http://www.lohikaarmeenluola.fi/SRD_HTML/Valtit/Valtit.php" TargetMode="External"/><Relationship Id="rId60" Type="http://schemas.openxmlformats.org/officeDocument/2006/relationships/hyperlink" Target="http://www.lohikaarmeenluola.fi/SRD_HTML/Olotilat/Olotilojen%20yhteenveto.php" TargetMode="External"/><Relationship Id="rId156" Type="http://schemas.openxmlformats.org/officeDocument/2006/relationships/hyperlink" Target="http://www.lohikaarmeenluola.fi/SRD_HTML/Varusteet%20ja%20erikoisaineet/Haarniskat%20ja%20kilvet.php" TargetMode="External"/><Relationship Id="rId198" Type="http://schemas.openxmlformats.org/officeDocument/2006/relationships/hyperlink" Target="http://www.lohikaarmeenluola.fi/SRD_HTML/Taidot/Tiedonkeruu.php" TargetMode="External"/><Relationship Id="rId321" Type="http://schemas.openxmlformats.org/officeDocument/2006/relationships/hyperlink" Target="http://www.lohikaarmeenluola.fi/SRD_HTML/Varusteet%20ja%20erikoisaineet/Aseet.php" TargetMode="External"/><Relationship Id="rId363" Type="http://schemas.openxmlformats.org/officeDocument/2006/relationships/hyperlink" Target="http://www.lohikaarmeenluola.fi/SRD_HTML/Valtit/Valtit.php" TargetMode="External"/><Relationship Id="rId419" Type="http://schemas.openxmlformats.org/officeDocument/2006/relationships/hyperlink" Target="http://www.lohikaarmeenluola.fi/SRD_HTML/Valtit/Valtit.php" TargetMode="External"/><Relationship Id="rId570" Type="http://schemas.openxmlformats.org/officeDocument/2006/relationships/hyperlink" Target="http://www.lohikaarmeenluola.fi/SRD_HTML/Valtit/Valtit.php" TargetMode="External"/><Relationship Id="rId626" Type="http://schemas.openxmlformats.org/officeDocument/2006/relationships/hyperlink" Target="http://www.lohikaarmeenluola.fi/SRD_HTML/Valtit/Valtit.php" TargetMode="External"/><Relationship Id="rId223" Type="http://schemas.openxmlformats.org/officeDocument/2006/relationships/hyperlink" Target="http://www.lohikaarmeenluola.fi/SRD_HTML/Taistelu/Erikoishy&amp;ouml;kk&amp;auml;ykset.php" TargetMode="External"/><Relationship Id="rId430" Type="http://schemas.openxmlformats.org/officeDocument/2006/relationships/hyperlink" Target="http://www.lohikaarmeenluola.fi/SRD_HTML/Valtit/Valtit.php" TargetMode="External"/><Relationship Id="rId668" Type="http://schemas.openxmlformats.org/officeDocument/2006/relationships/hyperlink" Target="http://www.lohikaarmeenluola.fi/SRD_HTML/Valtit/Valtit.php" TargetMode="External"/><Relationship Id="rId18" Type="http://schemas.openxmlformats.org/officeDocument/2006/relationships/hyperlink" Target="http://www.lohikaarmeenluola.fi/SRD_HTML/Olotilat/Olotilojen%20yhteenveto.php" TargetMode="External"/><Relationship Id="rId265" Type="http://schemas.openxmlformats.org/officeDocument/2006/relationships/hyperlink" Target="http://www.lohikaarmeenluola.fi/SRD_HTML/Varusteet%20ja%20erikoisaineet/Aseet.php" TargetMode="External"/><Relationship Id="rId472" Type="http://schemas.openxmlformats.org/officeDocument/2006/relationships/hyperlink" Target="http://www.lohikaarmeenluola.fi/SRD_HTML/Valtit/Valtit.php" TargetMode="External"/><Relationship Id="rId528" Type="http://schemas.openxmlformats.org/officeDocument/2006/relationships/hyperlink" Target="http://www.lohikaarmeenluola.fi/SRD_HTML/Valtit/Valtit.php" TargetMode="External"/><Relationship Id="rId125" Type="http://schemas.openxmlformats.org/officeDocument/2006/relationships/hyperlink" Target="http://www.lohikaarmeenluola.fi/SRD_HTML/Loitsut/H&amp;auml;m&amp;auml;rt&amp;auml;v&amp;auml;%20usva.php" TargetMode="External"/><Relationship Id="rId167" Type="http://schemas.openxmlformats.org/officeDocument/2006/relationships/hyperlink" Target="http://www.lohikaarmeenluola.fi/SRD_HTML/Taidot/Esiintyminen.php" TargetMode="External"/><Relationship Id="rId332" Type="http://schemas.openxmlformats.org/officeDocument/2006/relationships/hyperlink" Target="http://www.lohikaarmeenluola.fi/SRD_HTML/Varusteet%20ja%20erikoisaineet/Aseet.php" TargetMode="External"/><Relationship Id="rId374" Type="http://schemas.openxmlformats.org/officeDocument/2006/relationships/hyperlink" Target="http://www.lohikaarmeenluola.fi/SRD_HTML/Valtit/Valtit.php" TargetMode="External"/><Relationship Id="rId581" Type="http://schemas.openxmlformats.org/officeDocument/2006/relationships/hyperlink" Target="http://www.lohikaarmeenluola.fi/SRD_HTML/Valtit/Valtit.php" TargetMode="External"/><Relationship Id="rId71" Type="http://schemas.openxmlformats.org/officeDocument/2006/relationships/hyperlink" Target="http://www.lohikaarmeenluola.fi/SRD_HTML/Olotilat/Olotilojen%20yhteenveto.php" TargetMode="External"/><Relationship Id="rId234" Type="http://schemas.openxmlformats.org/officeDocument/2006/relationships/hyperlink" Target="http://www.lohikaarmeenluola.fi/SRD_HTML/Varusteet%20ja%20erikoisaineet/Aseet.php" TargetMode="External"/><Relationship Id="rId637" Type="http://schemas.openxmlformats.org/officeDocument/2006/relationships/hyperlink" Target="http://www.lohikaarmeenluola.fi/SRD_HTML/Valtit/Valtit.php" TargetMode="External"/><Relationship Id="rId2" Type="http://schemas.openxmlformats.org/officeDocument/2006/relationships/hyperlink" Target="http://www.lohikaarmeenluola.fi/SRD_HTML/Taistelu/Taistelun%20k&amp;auml;sitteet.php" TargetMode="External"/><Relationship Id="rId29" Type="http://schemas.openxmlformats.org/officeDocument/2006/relationships/hyperlink" Target="http://www.lohikaarmeenluola.fi/SRD_HTML/Erikoiskyvyt/Erikoiskyvyt.php" TargetMode="External"/><Relationship Id="rId276" Type="http://schemas.openxmlformats.org/officeDocument/2006/relationships/hyperlink" Target="http://www.lohikaarmeenluola.fi/SRD_HTML/Erikoiskyvyt/Erikoiskyvyt.php" TargetMode="External"/><Relationship Id="rId441" Type="http://schemas.openxmlformats.org/officeDocument/2006/relationships/hyperlink" Target="http://www.lohikaarmeenluola.fi/SRD_HTML/Valtit/Valtit.php" TargetMode="External"/><Relationship Id="rId483" Type="http://schemas.openxmlformats.org/officeDocument/2006/relationships/hyperlink" Target="http://www.lohikaarmeenluola.fi/SRD_HTML/Valtit/Valtit.php" TargetMode="External"/><Relationship Id="rId539" Type="http://schemas.openxmlformats.org/officeDocument/2006/relationships/hyperlink" Target="http://www.lohikaarmeenluola.fi/SRD_HTML/Valtit/Valtit.php" TargetMode="External"/><Relationship Id="rId40" Type="http://schemas.openxmlformats.org/officeDocument/2006/relationships/hyperlink" Target="http://www.lohikaarmeenluola.fi/SRD_HTML/Taistelu/Taistelun%20k&amp;auml;sitteet.php" TargetMode="External"/><Relationship Id="rId136" Type="http://schemas.openxmlformats.org/officeDocument/2006/relationships/hyperlink" Target="http://www.lohikaarmeenluola.fi/SRD_HTML/Loitsut/Loikkaus%20(loitsu).php" TargetMode="External"/><Relationship Id="rId178" Type="http://schemas.openxmlformats.org/officeDocument/2006/relationships/hyperlink" Target="http://www.lohikaarmeenluola.fi/SRD_HTML/Taidot/Kahlekuninkuus.php" TargetMode="External"/><Relationship Id="rId301" Type="http://schemas.openxmlformats.org/officeDocument/2006/relationships/hyperlink" Target="http://www.lohikaarmeenluola.fi/SRD_HTML/Varusteet%20ja%20erikoisaineet/Aseet.php" TargetMode="External"/><Relationship Id="rId343" Type="http://schemas.openxmlformats.org/officeDocument/2006/relationships/hyperlink" Target="http://www.lohikaarmeenluola.fi/SRD_HTML/Varusteet%20ja%20erikoisaineet/Aseet.php" TargetMode="External"/><Relationship Id="rId550" Type="http://schemas.openxmlformats.org/officeDocument/2006/relationships/hyperlink" Target="http://www.lohikaarmeenluola.fi/SRD_HTML/Valtit/Valtit.php" TargetMode="External"/><Relationship Id="rId82" Type="http://schemas.openxmlformats.org/officeDocument/2006/relationships/hyperlink" Target="http://www.lohikaarmeenluola.fi/SRD_HTML/Valtit/Valtit.php" TargetMode="External"/><Relationship Id="rId203" Type="http://schemas.openxmlformats.org/officeDocument/2006/relationships/hyperlink" Target="http://www.lohikaarmeenluola.fi/SRD_HTML/Taidot/Tiet&amp;auml;mys.php" TargetMode="External"/><Relationship Id="rId385" Type="http://schemas.openxmlformats.org/officeDocument/2006/relationships/hyperlink" Target="http://www.lohikaarmeenluola.fi/SRD_HTML/Valtit/Valtit.php" TargetMode="External"/><Relationship Id="rId592" Type="http://schemas.openxmlformats.org/officeDocument/2006/relationships/hyperlink" Target="http://www.lohikaarmeenluola.fi/SRD_HTML/Valtit/Valtit.php" TargetMode="External"/><Relationship Id="rId606" Type="http://schemas.openxmlformats.org/officeDocument/2006/relationships/hyperlink" Target="http://www.lohikaarmeenluola.fi/SRD_HTML/Valtit/Valtit.php" TargetMode="External"/><Relationship Id="rId648" Type="http://schemas.openxmlformats.org/officeDocument/2006/relationships/hyperlink" Target="http://www.lohikaarmeenluola.fi/SRD_HTML/Valtit/Valtit.php" TargetMode="External"/><Relationship Id="rId245" Type="http://schemas.openxmlformats.org/officeDocument/2006/relationships/hyperlink" Target="http://www.lohikaarmeenluola.fi/SRD_HTML/Varusteet%20ja%20erikoisaineet/Aseet.php" TargetMode="External"/><Relationship Id="rId287" Type="http://schemas.openxmlformats.org/officeDocument/2006/relationships/hyperlink" Target="http://www.lohikaarmeenluola.fi/SRD_HTML/Varusteet%20ja%20erikoisaineet/Aseet.php" TargetMode="External"/><Relationship Id="rId410" Type="http://schemas.openxmlformats.org/officeDocument/2006/relationships/hyperlink" Target="http://www.lohikaarmeenluola.fi/SRD_HTML/Valtit/Valtit.php" TargetMode="External"/><Relationship Id="rId452" Type="http://schemas.openxmlformats.org/officeDocument/2006/relationships/hyperlink" Target="http://www.lohikaarmeenluola.fi/SRD_HTML/Valtit/Valtit.php" TargetMode="External"/><Relationship Id="rId494" Type="http://schemas.openxmlformats.org/officeDocument/2006/relationships/hyperlink" Target="http://www.lohikaarmeenluola.fi/SRD_HTML/Valtit/Valtit.php" TargetMode="External"/><Relationship Id="rId508" Type="http://schemas.openxmlformats.org/officeDocument/2006/relationships/hyperlink" Target="http://www.lohikaarmeenluola.fi/SRD_HTML/Valtit/Valtit.php" TargetMode="External"/><Relationship Id="rId105" Type="http://schemas.openxmlformats.org/officeDocument/2006/relationships/hyperlink" Target="http://www.lohikaarmeenluola.fi/SRD_HTML/Taistelu/Vammat%20ja%20kuolema.php" TargetMode="External"/><Relationship Id="rId147" Type="http://schemas.openxmlformats.org/officeDocument/2006/relationships/hyperlink" Target="http://www.lohikaarmeenluola.fi/SRD_HTML/Loitsut/Siunaus.php" TargetMode="External"/><Relationship Id="rId312" Type="http://schemas.openxmlformats.org/officeDocument/2006/relationships/hyperlink" Target="http://www.lohikaarmeenluola.fi/SRD_HTML/Varusteet%20ja%20erikoisaineet/Aseet.php" TargetMode="External"/><Relationship Id="rId354" Type="http://schemas.openxmlformats.org/officeDocument/2006/relationships/hyperlink" Target="http://www.lohikaarmeenluola.fi/SRD_HTML/Valtit/Valtit.php" TargetMode="External"/><Relationship Id="rId51" Type="http://schemas.openxmlformats.org/officeDocument/2006/relationships/hyperlink" Target="http://www.lohikaarmeenluola.fi/SRD_HTML/Taistelu/Taistelumuuntimet.php" TargetMode="External"/><Relationship Id="rId93" Type="http://schemas.openxmlformats.org/officeDocument/2006/relationships/hyperlink" Target="http://www.lohikaarmeenluola.fi/SRD_HTML/Valtit/Valtit.php" TargetMode="External"/><Relationship Id="rId189" Type="http://schemas.openxmlformats.org/officeDocument/2006/relationships/hyperlink" Target="http://www.lohikaarmeenluola.fi/SRD_HTML/Taidot/Loikkaus%20(taito).php" TargetMode="External"/><Relationship Id="rId396" Type="http://schemas.openxmlformats.org/officeDocument/2006/relationships/hyperlink" Target="http://www.lohikaarmeenluola.fi/SRD_HTML/Valtit/Valtit.php" TargetMode="External"/><Relationship Id="rId561" Type="http://schemas.openxmlformats.org/officeDocument/2006/relationships/hyperlink" Target="http://www.lohikaarmeenluola.fi/SRD_HTML/Valtit/Valtit.php" TargetMode="External"/><Relationship Id="rId617" Type="http://schemas.openxmlformats.org/officeDocument/2006/relationships/hyperlink" Target="http://www.lohikaarmeenluola.fi/SRD_HTML/Valtit/Valtit.php" TargetMode="External"/><Relationship Id="rId659" Type="http://schemas.openxmlformats.org/officeDocument/2006/relationships/hyperlink" Target="http://www.lohikaarmeenluola.fi/SRD_HTML/Valtit/Valtit.php" TargetMode="External"/><Relationship Id="rId214" Type="http://schemas.openxmlformats.org/officeDocument/2006/relationships/hyperlink" Target="http://www.lohikaarmeenluola.fi/SRD_HTML/Taidot/Taitojen%20k&amp;auml;ytt&amp;ouml;.php" TargetMode="External"/><Relationship Id="rId256" Type="http://schemas.openxmlformats.org/officeDocument/2006/relationships/hyperlink" Target="http://www.lohikaarmeenluola.fi/SRD_HTML/Varusteet%20ja%20erikoisaineet/Aseet.php" TargetMode="External"/><Relationship Id="rId298" Type="http://schemas.openxmlformats.org/officeDocument/2006/relationships/hyperlink" Target="http://www.lohikaarmeenluola.fi/SRD_HTML/Varusteet%20ja%20erikoisaineet/Aseet.php" TargetMode="External"/><Relationship Id="rId421" Type="http://schemas.openxmlformats.org/officeDocument/2006/relationships/hyperlink" Target="http://www.lohikaarmeenluola.fi/SRD_HTML/Valtit/Valtit.php" TargetMode="External"/><Relationship Id="rId463" Type="http://schemas.openxmlformats.org/officeDocument/2006/relationships/hyperlink" Target="http://www.lohikaarmeenluola.fi/SRD_HTML/Valtit/Valtit.php" TargetMode="External"/><Relationship Id="rId519" Type="http://schemas.openxmlformats.org/officeDocument/2006/relationships/hyperlink" Target="http://www.lohikaarmeenluola.fi/SRD_HTML/Valtit/Valtit.php" TargetMode="External"/><Relationship Id="rId670" Type="http://schemas.openxmlformats.org/officeDocument/2006/relationships/hyperlink" Target="http://www.lohikaarmeenluola.fi/SRD_HTML/Valtit/Valtit.php" TargetMode="External"/><Relationship Id="rId116" Type="http://schemas.openxmlformats.org/officeDocument/2006/relationships/hyperlink" Target="http://www.lohikaarmeenluola.fi/SRD_HTML/Hahmoluokat/Barbaari.php" TargetMode="External"/><Relationship Id="rId158" Type="http://schemas.openxmlformats.org/officeDocument/2006/relationships/hyperlink" Target="http://www.lohikaarmeenluola.fi/SRD_HTML/Taidot/Akrobatia.php" TargetMode="External"/><Relationship Id="rId323" Type="http://schemas.openxmlformats.org/officeDocument/2006/relationships/hyperlink" Target="http://www.lohikaarmeenluola.fi/SRD_HTML/Varusteet%20ja%20erikoisaineet/Aseet.php" TargetMode="External"/><Relationship Id="rId530" Type="http://schemas.openxmlformats.org/officeDocument/2006/relationships/hyperlink" Target="http://www.lohikaarmeenluola.fi/SRD_HTML/Valtit/Valtit.php" TargetMode="External"/><Relationship Id="rId20" Type="http://schemas.openxmlformats.org/officeDocument/2006/relationships/hyperlink" Target="http://www.lohikaarmeenluola.fi/SRD_HTML/S&amp;auml;&amp;auml;nt&amp;ouml;jen%20perusteet/S&amp;auml;&amp;auml;nt&amp;ouml;jen%20perusteet.php" TargetMode="External"/><Relationship Id="rId62" Type="http://schemas.openxmlformats.org/officeDocument/2006/relationships/hyperlink" Target="http://www.lohikaarmeenluola.fi/SRD_HTML/Olotilat/Olotilojen%20yhteenveto.php" TargetMode="External"/><Relationship Id="rId365" Type="http://schemas.openxmlformats.org/officeDocument/2006/relationships/hyperlink" Target="http://www.lohikaarmeenluola.fi/SRD_HTML/Valtit/Valtit.php" TargetMode="External"/><Relationship Id="rId572" Type="http://schemas.openxmlformats.org/officeDocument/2006/relationships/hyperlink" Target="http://www.lohikaarmeenluola.fi/SRD_HTML/Valtit/Valtit.php" TargetMode="External"/><Relationship Id="rId628" Type="http://schemas.openxmlformats.org/officeDocument/2006/relationships/hyperlink" Target="http://www.lohikaarmeenluola.fi/SRD_HTML/Valtit/Valtit.php" TargetMode="External"/><Relationship Id="rId225" Type="http://schemas.openxmlformats.org/officeDocument/2006/relationships/hyperlink" Target="http://www.lohikaarmeenluola.fi/SRD_HTML/Varusteet%20ja%20erikoisaineet/Aseet.php" TargetMode="External"/><Relationship Id="rId267" Type="http://schemas.openxmlformats.org/officeDocument/2006/relationships/hyperlink" Target="http://www.lohikaarmeenluola.fi/SRD_HTML/Varusteet%20ja%20erikoisaineet/Aseet.php" TargetMode="External"/><Relationship Id="rId432" Type="http://schemas.openxmlformats.org/officeDocument/2006/relationships/hyperlink" Target="http://www.lohikaarmeenluola.fi/SRD_HTML/Valtit/Valtit.php" TargetMode="External"/><Relationship Id="rId474" Type="http://schemas.openxmlformats.org/officeDocument/2006/relationships/hyperlink" Target="http://www.lohikaarmeenluola.fi/SRD_HTML/Valtit/Valtit.php" TargetMode="External"/><Relationship Id="rId127" Type="http://schemas.openxmlformats.org/officeDocument/2006/relationships/hyperlink" Target="http://www.lohikaarmeenluola.fi/SRD_HTML/Loitsut/Ihmisolion%20suurennus.php" TargetMode="External"/><Relationship Id="rId31" Type="http://schemas.openxmlformats.org/officeDocument/2006/relationships/hyperlink" Target="http://www.lohikaarmeenluola.fi/SRD_HTML/Taistelu/Taistelumuuntimet.php" TargetMode="External"/><Relationship Id="rId73" Type="http://schemas.openxmlformats.org/officeDocument/2006/relationships/hyperlink" Target="http://www.lohikaarmeenluola.fi/SRD_HTML/Valtit/Valtit.php" TargetMode="External"/><Relationship Id="rId169" Type="http://schemas.openxmlformats.org/officeDocument/2006/relationships/hyperlink" Target="http://www.lohikaarmeenluola.fi/SRD_HTML/Taidot/Esiintyminen.php" TargetMode="External"/><Relationship Id="rId334" Type="http://schemas.openxmlformats.org/officeDocument/2006/relationships/hyperlink" Target="http://www.lohikaarmeenluola.fi/SRD_HTML/Varusteet%20ja%20erikoisaineet/Aseet.php" TargetMode="External"/><Relationship Id="rId376" Type="http://schemas.openxmlformats.org/officeDocument/2006/relationships/hyperlink" Target="http://www.lohikaarmeenluola.fi/SRD_HTML/Valtit/Valtit.php" TargetMode="External"/><Relationship Id="rId541" Type="http://schemas.openxmlformats.org/officeDocument/2006/relationships/hyperlink" Target="http://www.lohikaarmeenluola.fi/SRD_HTML/Valtit/Valtit.php" TargetMode="External"/><Relationship Id="rId583" Type="http://schemas.openxmlformats.org/officeDocument/2006/relationships/hyperlink" Target="http://www.lohikaarmeenluola.fi/SRD_HTML/Valtit/Valtit.php" TargetMode="External"/><Relationship Id="rId639" Type="http://schemas.openxmlformats.org/officeDocument/2006/relationships/hyperlink" Target="http://www.lohikaarmeenluola.fi/SRD_HTML/Valtit/Valtit.php" TargetMode="External"/><Relationship Id="rId4" Type="http://schemas.openxmlformats.org/officeDocument/2006/relationships/hyperlink" Target="http://www.lohikaarmeenluola.fi/SRD_HTML/Taistelu/Aloite.php" TargetMode="External"/><Relationship Id="rId180" Type="http://schemas.openxmlformats.org/officeDocument/2006/relationships/hyperlink" Target="http://www.lohikaarmeenluola.fi/SRD_HTML/Taidot/Kiipeily.php" TargetMode="External"/><Relationship Id="rId236" Type="http://schemas.openxmlformats.org/officeDocument/2006/relationships/hyperlink" Target="http://www.lohikaarmeenluola.fi/SRD_HTML/Varusteet%20ja%20erikoisaineet/Aseet.php" TargetMode="External"/><Relationship Id="rId278" Type="http://schemas.openxmlformats.org/officeDocument/2006/relationships/hyperlink" Target="http://www.lohikaarmeenluola.fi/SRD_HTML/Varusteet%20ja%20erikoisaineet/Aseet.php" TargetMode="External"/><Relationship Id="rId401" Type="http://schemas.openxmlformats.org/officeDocument/2006/relationships/hyperlink" Target="http://www.lohikaarmeenluola.fi/SRD_HTML/Valtit/Valtit.php" TargetMode="External"/><Relationship Id="rId443" Type="http://schemas.openxmlformats.org/officeDocument/2006/relationships/hyperlink" Target="http://www.lohikaarmeenluola.fi/SRD_HTML/Valtit/Valtit.php" TargetMode="External"/><Relationship Id="rId650" Type="http://schemas.openxmlformats.org/officeDocument/2006/relationships/hyperlink" Target="http://www.lohikaarmeenluola.fi/SRD_HTML/Valtit/Valtit.php" TargetMode="External"/><Relationship Id="rId303" Type="http://schemas.openxmlformats.org/officeDocument/2006/relationships/hyperlink" Target="http://www.lohikaarmeenluola.fi/SRD_HTML/Varusteet%20ja%20erikoisaineet/Aseet.php" TargetMode="External"/><Relationship Id="rId485" Type="http://schemas.openxmlformats.org/officeDocument/2006/relationships/hyperlink" Target="http://www.lohikaarmeenluola.fi/SRD_HTML/Valtit/Valtit.php" TargetMode="External"/><Relationship Id="rId42" Type="http://schemas.openxmlformats.org/officeDocument/2006/relationships/hyperlink" Target="http://www.lohikaarmeenluola.fi/SRD_HTML/Erikoiskyvyt/Erikoiskyvyt.php" TargetMode="External"/><Relationship Id="rId84" Type="http://schemas.openxmlformats.org/officeDocument/2006/relationships/hyperlink" Target="http://www.lohikaarmeenluola.fi/SRD_HTML/Valtit/Valtit.php" TargetMode="External"/><Relationship Id="rId138" Type="http://schemas.openxmlformats.org/officeDocument/2006/relationships/hyperlink" Target="http://www.lohikaarmeenluola.fi/SRD_HTML/Loitsut/Kilpi.php" TargetMode="External"/><Relationship Id="rId345" Type="http://schemas.openxmlformats.org/officeDocument/2006/relationships/hyperlink" Target="http://www.lohikaarmeenluola.fi/SRD_HTML/Varusteet%20ja%20erikoisaineet/Aseet.php" TargetMode="External"/><Relationship Id="rId387" Type="http://schemas.openxmlformats.org/officeDocument/2006/relationships/hyperlink" Target="http://www.lohikaarmeenluola.fi/SRD_HTML/Valtit/Valtit.php" TargetMode="External"/><Relationship Id="rId510" Type="http://schemas.openxmlformats.org/officeDocument/2006/relationships/hyperlink" Target="http://www.lohikaarmeenluola.fi/SRD_HTML/Valtit/Valtit.php" TargetMode="External"/><Relationship Id="rId552" Type="http://schemas.openxmlformats.org/officeDocument/2006/relationships/hyperlink" Target="http://www.lohikaarmeenluola.fi/SRD_HTML/Valtit/Valtit.php" TargetMode="External"/><Relationship Id="rId594" Type="http://schemas.openxmlformats.org/officeDocument/2006/relationships/hyperlink" Target="http://www.lohikaarmeenluola.fi/SRD_HTML/Valtit/Valtit.php" TargetMode="External"/><Relationship Id="rId608" Type="http://schemas.openxmlformats.org/officeDocument/2006/relationships/hyperlink" Target="http://www.lohikaarmeenluola.fi/SRD_HTML/Valtit/Valtit.php" TargetMode="External"/><Relationship Id="rId191" Type="http://schemas.openxmlformats.org/officeDocument/2006/relationships/hyperlink" Target="http://www.lohikaarmeenluola.fi/SRD_HTML/Taidot/Naamioituminen.php" TargetMode="External"/><Relationship Id="rId205" Type="http://schemas.openxmlformats.org/officeDocument/2006/relationships/hyperlink" Target="http://www.lohikaarmeenluola.fi/SRD_HTML/Taidot/Tiet&amp;auml;mys.php" TargetMode="External"/><Relationship Id="rId247" Type="http://schemas.openxmlformats.org/officeDocument/2006/relationships/hyperlink" Target="http://www.lohikaarmeenluola.fi/SRD_HTML/Varusteet%20ja%20erikoisaineet/Aseet.php" TargetMode="External"/><Relationship Id="rId412" Type="http://schemas.openxmlformats.org/officeDocument/2006/relationships/hyperlink" Target="http://www.lohikaarmeenluola.fi/SRD_HTML/Valtit/Valtit.php" TargetMode="External"/><Relationship Id="rId107" Type="http://schemas.openxmlformats.org/officeDocument/2006/relationships/hyperlink" Target="http://www.lohikaarmeenluola.fi/SRD_HTML/Taistelu/Vammat%20ja%20kuolema.php" TargetMode="External"/><Relationship Id="rId289" Type="http://schemas.openxmlformats.org/officeDocument/2006/relationships/hyperlink" Target="http://www.lohikaarmeenluola.fi/SRD_HTML/Varusteet%20ja%20erikoisaineet/Aseet.php" TargetMode="External"/><Relationship Id="rId454" Type="http://schemas.openxmlformats.org/officeDocument/2006/relationships/hyperlink" Target="http://www.lohikaarmeenluola.fi/SRD_HTML/Valtit/Valtit.php" TargetMode="External"/><Relationship Id="rId496" Type="http://schemas.openxmlformats.org/officeDocument/2006/relationships/hyperlink" Target="http://www.lohikaarmeenluola.fi/SRD_HTML/Valtit/Valtit.php" TargetMode="External"/><Relationship Id="rId661" Type="http://schemas.openxmlformats.org/officeDocument/2006/relationships/hyperlink" Target="http://www.lohikaarmeenluola.fi/SRD_HTML/Valtit/Valtit.php" TargetMode="External"/><Relationship Id="rId11" Type="http://schemas.openxmlformats.org/officeDocument/2006/relationships/hyperlink" Target="http://www.lohikaarmeenluola.fi/SRD_HTML/S&amp;auml;&amp;auml;nt&amp;ouml;jen%20perusteet/S&amp;auml;&amp;auml;nt&amp;ouml;jen%20perusteet.php" TargetMode="External"/><Relationship Id="rId53" Type="http://schemas.openxmlformats.org/officeDocument/2006/relationships/hyperlink" Target="http://www.lohikaarmeenluola.fi/SRD_HTML/Taistelu/Toiminnot%20taistelun%20aikana.php" TargetMode="External"/><Relationship Id="rId149" Type="http://schemas.openxmlformats.org/officeDocument/2006/relationships/hyperlink" Target="http://www.lohikaarmeenluola.fi/SRD_HTML/Loitsut/Sumupilvi.php" TargetMode="External"/><Relationship Id="rId314" Type="http://schemas.openxmlformats.org/officeDocument/2006/relationships/hyperlink" Target="http://www.lohikaarmeenluola.fi/SRD_HTML/Varusteet%20ja%20erikoisaineet/Aseet.php" TargetMode="External"/><Relationship Id="rId356" Type="http://schemas.openxmlformats.org/officeDocument/2006/relationships/hyperlink" Target="http://www.lohikaarmeenluola.fi/SRD_HTML/Valtit/Valtit.php" TargetMode="External"/><Relationship Id="rId398" Type="http://schemas.openxmlformats.org/officeDocument/2006/relationships/hyperlink" Target="http://www.lohikaarmeenluola.fi/SRD_HTML/Valtit/Valtit.php" TargetMode="External"/><Relationship Id="rId521" Type="http://schemas.openxmlformats.org/officeDocument/2006/relationships/hyperlink" Target="http://www.lohikaarmeenluola.fi/SRD_HTML/Valtit/Valtit.php" TargetMode="External"/><Relationship Id="rId563" Type="http://schemas.openxmlformats.org/officeDocument/2006/relationships/hyperlink" Target="http://www.lohikaarmeenluola.fi/SRD_HTML/Valtit/Valtit.php" TargetMode="External"/><Relationship Id="rId619" Type="http://schemas.openxmlformats.org/officeDocument/2006/relationships/hyperlink" Target="http://www.lohikaarmeenluola.fi/SRD_HTML/Valtit/Valtit.php" TargetMode="External"/><Relationship Id="rId95" Type="http://schemas.openxmlformats.org/officeDocument/2006/relationships/hyperlink" Target="http://www.lohikaarmeenluola.fi/SRD_HTML/Valtit/Valtit.php" TargetMode="External"/><Relationship Id="rId160" Type="http://schemas.openxmlformats.org/officeDocument/2006/relationships/hyperlink" Target="http://www.lohikaarmeenluola.fi/SRD_HTML/Taidot/Ammatti.php" TargetMode="External"/><Relationship Id="rId216" Type="http://schemas.openxmlformats.org/officeDocument/2006/relationships/hyperlink" Target="http://www.lohikaarmeenluola.fi/SRD_HTML/Varusteet%20ja%20erikoisaineet/Aseet.php" TargetMode="External"/><Relationship Id="rId423" Type="http://schemas.openxmlformats.org/officeDocument/2006/relationships/hyperlink" Target="http://www.lohikaarmeenluola.fi/SRD_HTML/Valtit/Valtit.php" TargetMode="External"/><Relationship Id="rId258" Type="http://schemas.openxmlformats.org/officeDocument/2006/relationships/hyperlink" Target="http://www.lohikaarmeenluola.fi/SRD_HTML/Varusteet%20ja%20erikoisaineet/Aseet.php" TargetMode="External"/><Relationship Id="rId465" Type="http://schemas.openxmlformats.org/officeDocument/2006/relationships/hyperlink" Target="http://www.lohikaarmeenluola.fi/SRD_HTML/Valtit/Valtit.php" TargetMode="External"/><Relationship Id="rId630" Type="http://schemas.openxmlformats.org/officeDocument/2006/relationships/hyperlink" Target="http://www.lohikaarmeenluola.fi/SRD_HTML/Valtit/Valtit.php" TargetMode="External"/><Relationship Id="rId672" Type="http://schemas.openxmlformats.org/officeDocument/2006/relationships/hyperlink" Target="http://www.lohikaarmeenluola.fi/SRD_HTML/Loitsut/Taikatorahammas.php" TargetMode="External"/><Relationship Id="rId22" Type="http://schemas.openxmlformats.org/officeDocument/2006/relationships/hyperlink" Target="http://www.lohikaarmeenluola.fi/SRD_HTML/S&amp;auml;&amp;auml;nt&amp;ouml;jen%20perusteet/S&amp;auml;&amp;auml;nt&amp;ouml;jen%20perusteet.php" TargetMode="External"/><Relationship Id="rId64" Type="http://schemas.openxmlformats.org/officeDocument/2006/relationships/hyperlink" Target="http://www.lohikaarmeenluola.fi/SRD_HTML/Taistelu/Erikoishy&amp;ouml;kk&amp;auml;ykset.php" TargetMode="External"/><Relationship Id="rId118" Type="http://schemas.openxmlformats.org/officeDocument/2006/relationships/hyperlink" Target="http://www.lohikaarmeenluola.fi/SRD_HTML/Loitsut/Avitus.php" TargetMode="External"/><Relationship Id="rId325" Type="http://schemas.openxmlformats.org/officeDocument/2006/relationships/hyperlink" Target="http://www.lohikaarmeenluola.fi/SRD_HTML/Varusteet%20ja%20erikoisaineet/Aseet.php" TargetMode="External"/><Relationship Id="rId367" Type="http://schemas.openxmlformats.org/officeDocument/2006/relationships/hyperlink" Target="http://www.lohikaarmeenluola.fi/SRD_HTML/Valtit/Valtit.php" TargetMode="External"/><Relationship Id="rId532" Type="http://schemas.openxmlformats.org/officeDocument/2006/relationships/hyperlink" Target="http://www.lohikaarmeenluola.fi/SRD_HTML/Valtit/Valtit.php" TargetMode="External"/><Relationship Id="rId574" Type="http://schemas.openxmlformats.org/officeDocument/2006/relationships/hyperlink" Target="http://www.lohikaarmeenluola.fi/SRD_HTML/Valtit/Valtit.php" TargetMode="External"/><Relationship Id="rId171" Type="http://schemas.openxmlformats.org/officeDocument/2006/relationships/hyperlink" Target="http://www.lohikaarmeenluola.fi/SRD_HTML/Taidot/Esiintyminen.php" TargetMode="External"/><Relationship Id="rId227" Type="http://schemas.openxmlformats.org/officeDocument/2006/relationships/hyperlink" Target="http://www.lohikaarmeenluola.fi/SRD_HTML/Varusteet%20ja%20erikoisaineet/Aseet.php" TargetMode="External"/><Relationship Id="rId269" Type="http://schemas.openxmlformats.org/officeDocument/2006/relationships/hyperlink" Target="http://www.lohikaarmeenluola.fi/SRD_HTML/Varusteet%20ja%20erikoisaineet/Aseet.php" TargetMode="External"/><Relationship Id="rId434" Type="http://schemas.openxmlformats.org/officeDocument/2006/relationships/hyperlink" Target="http://www.lohikaarmeenluola.fi/SRD_HTML/Valtit/Valtit.php" TargetMode="External"/><Relationship Id="rId476" Type="http://schemas.openxmlformats.org/officeDocument/2006/relationships/hyperlink" Target="http://www.lohikaarmeenluola.fi/SRD_HTML/Valtit/Valtit.php" TargetMode="External"/><Relationship Id="rId641" Type="http://schemas.openxmlformats.org/officeDocument/2006/relationships/hyperlink" Target="http://www.lohikaarmeenluola.fi/SRD_HTML/Valtit/Valtit.php" TargetMode="External"/><Relationship Id="rId33" Type="http://schemas.openxmlformats.org/officeDocument/2006/relationships/hyperlink" Target="http://www.lohikaarmeenluola.fi/SRD_HTML/Taistelu/Toiminnot%20taistelun%20aikana.php" TargetMode="External"/><Relationship Id="rId129" Type="http://schemas.openxmlformats.org/officeDocument/2006/relationships/hyperlink" Target="http://www.lohikaarmeenluola.fi/SRD_HTML/Loitsut/Jumalvoima.php" TargetMode="External"/><Relationship Id="rId280" Type="http://schemas.openxmlformats.org/officeDocument/2006/relationships/hyperlink" Target="http://www.lohikaarmeenluola.fi/SRD_HTML/Varusteet%20ja%20erikoisaineet/Aseet.php" TargetMode="External"/><Relationship Id="rId336" Type="http://schemas.openxmlformats.org/officeDocument/2006/relationships/hyperlink" Target="http://www.lohikaarmeenluola.fi/SRD_HTML/Varusteet%20ja%20erikoisaineet/Aseet.php" TargetMode="External"/><Relationship Id="rId501" Type="http://schemas.openxmlformats.org/officeDocument/2006/relationships/hyperlink" Target="http://www.lohikaarmeenluola.fi/SRD_HTML/Valtit/Valtit.php" TargetMode="External"/><Relationship Id="rId543" Type="http://schemas.openxmlformats.org/officeDocument/2006/relationships/hyperlink" Target="http://www.lohikaarmeenluola.fi/SRD_HTML/Valtit/Valtit.php" TargetMode="External"/><Relationship Id="rId75" Type="http://schemas.openxmlformats.org/officeDocument/2006/relationships/hyperlink" Target="http://www.lohikaarmeenluola.fi/SRD_HTML/Valtit/Valtit.php" TargetMode="External"/><Relationship Id="rId140" Type="http://schemas.openxmlformats.org/officeDocument/2006/relationships/hyperlink" Target="http://www.lohikaarmeenluola.fi/SRD_HTML/Loitsut/Parkkinahka.php" TargetMode="External"/><Relationship Id="rId182" Type="http://schemas.openxmlformats.org/officeDocument/2006/relationships/hyperlink" Target="http://www.lohikaarmeenluola.fi/SRD_HTML/Taidot/Kovistelu.php" TargetMode="External"/><Relationship Id="rId378" Type="http://schemas.openxmlformats.org/officeDocument/2006/relationships/hyperlink" Target="http://www.lohikaarmeenluola.fi/SRD_HTML/Valtit/Valtit.php" TargetMode="External"/><Relationship Id="rId403" Type="http://schemas.openxmlformats.org/officeDocument/2006/relationships/hyperlink" Target="http://www.lohikaarmeenluola.fi/SRD_HTML/Valtit/Valtit.php" TargetMode="External"/><Relationship Id="rId585" Type="http://schemas.openxmlformats.org/officeDocument/2006/relationships/hyperlink" Target="http://www.lohikaarmeenluola.fi/SRD_HTML/Valtit/Valtit.php" TargetMode="External"/><Relationship Id="rId6" Type="http://schemas.openxmlformats.org/officeDocument/2006/relationships/hyperlink" Target="http://www.lohikaarmeenluola.fi/SRD_HTML/Taistelu/Liikkuminen,%20sijoittuminen%20ja%20v&amp;auml;limatkat.php" TargetMode="External"/><Relationship Id="rId238" Type="http://schemas.openxmlformats.org/officeDocument/2006/relationships/hyperlink" Target="http://www.lohikaarmeenluola.fi/SRD_HTML/Varusteet%20ja%20erikoisaineet/Aseet.php" TargetMode="External"/><Relationship Id="rId445" Type="http://schemas.openxmlformats.org/officeDocument/2006/relationships/hyperlink" Target="http://www.lohikaarmeenluola.fi/SRD_HTML/Valtit/Valtit.php" TargetMode="External"/><Relationship Id="rId487" Type="http://schemas.openxmlformats.org/officeDocument/2006/relationships/hyperlink" Target="http://www.lohikaarmeenluola.fi/SRD_HTML/Valtit/Valtit.php" TargetMode="External"/><Relationship Id="rId610" Type="http://schemas.openxmlformats.org/officeDocument/2006/relationships/hyperlink" Target="http://www.lohikaarmeenluola.fi/SRD_HTML/Valtit/Valtit.php" TargetMode="External"/><Relationship Id="rId652" Type="http://schemas.openxmlformats.org/officeDocument/2006/relationships/hyperlink" Target="http://www.lohikaarmeenluola.fi/SRD_HTML/Valtit/Valtit.php" TargetMode="External"/><Relationship Id="rId291" Type="http://schemas.openxmlformats.org/officeDocument/2006/relationships/hyperlink" Target="http://www.lohikaarmeenluola.fi/SRD_HTML/Varusteet%20ja%20erikoisaineet/Aseet.php" TargetMode="External"/><Relationship Id="rId305" Type="http://schemas.openxmlformats.org/officeDocument/2006/relationships/hyperlink" Target="http://www.lohikaarmeenluola.fi/SRD_HTML/Varusteet%20ja%20erikoisaineet/Aseet.php" TargetMode="External"/><Relationship Id="rId347" Type="http://schemas.openxmlformats.org/officeDocument/2006/relationships/hyperlink" Target="http://www.lohikaarmeenluola.fi/SRD_HTML/Varusteet%20ja%20erikoisaineet/Aseet.php" TargetMode="External"/><Relationship Id="rId512" Type="http://schemas.openxmlformats.org/officeDocument/2006/relationships/hyperlink" Target="http://www.lohikaarmeenluola.fi/SRD_HTML/Valtit/Valtit.php" TargetMode="External"/><Relationship Id="rId44" Type="http://schemas.openxmlformats.org/officeDocument/2006/relationships/hyperlink" Target="http://www.lohikaarmeenluola.fi/SRD_HTML/Hahmoluokat/Rosvo.php" TargetMode="External"/><Relationship Id="rId86" Type="http://schemas.openxmlformats.org/officeDocument/2006/relationships/hyperlink" Target="http://www.lohikaarmeenluola.fi/SRD_HTML/Valtit/Valtit.php" TargetMode="External"/><Relationship Id="rId151" Type="http://schemas.openxmlformats.org/officeDocument/2006/relationships/hyperlink" Target="http://www.lohikaarmeenluola.fi/SRD_HTML/Loitsut/Vahva%20toivo.php" TargetMode="External"/><Relationship Id="rId389" Type="http://schemas.openxmlformats.org/officeDocument/2006/relationships/hyperlink" Target="http://www.lohikaarmeenluola.fi/SRD_HTML/Valtit/Valtit.php" TargetMode="External"/><Relationship Id="rId554" Type="http://schemas.openxmlformats.org/officeDocument/2006/relationships/hyperlink" Target="http://www.lohikaarmeenluola.fi/SRD_HTML/Valtit/Valtit.php" TargetMode="External"/><Relationship Id="rId596" Type="http://schemas.openxmlformats.org/officeDocument/2006/relationships/hyperlink" Target="http://www.lohikaarmeenluola.fi/SRD_HTML/Valtit/Valtit.php" TargetMode="External"/><Relationship Id="rId193" Type="http://schemas.openxmlformats.org/officeDocument/2006/relationships/hyperlink" Target="http://www.lohikaarmeenluola.fi/SRD_HTML/Taidot/Piiloutuminen.php" TargetMode="External"/><Relationship Id="rId207" Type="http://schemas.openxmlformats.org/officeDocument/2006/relationships/hyperlink" Target="http://www.lohikaarmeenluola.fi/SRD_HTML/Taidot/Tiet&amp;auml;mys.php" TargetMode="External"/><Relationship Id="rId249" Type="http://schemas.openxmlformats.org/officeDocument/2006/relationships/hyperlink" Target="http://www.lohikaarmeenluola.fi/SRD_HTML/Varusteet%20ja%20erikoisaineet/Aseet.php" TargetMode="External"/><Relationship Id="rId414" Type="http://schemas.openxmlformats.org/officeDocument/2006/relationships/hyperlink" Target="http://www.lohikaarmeenluola.fi/SRD_HTML/Valtit/Valtit.php" TargetMode="External"/><Relationship Id="rId456" Type="http://schemas.openxmlformats.org/officeDocument/2006/relationships/hyperlink" Target="http://www.lohikaarmeenluola.fi/SRD_HTML/Valtit/Valtit.php" TargetMode="External"/><Relationship Id="rId498" Type="http://schemas.openxmlformats.org/officeDocument/2006/relationships/hyperlink" Target="http://www.lohikaarmeenluola.fi/SRD_HTML/Valtit/Valtit.php" TargetMode="External"/><Relationship Id="rId621" Type="http://schemas.openxmlformats.org/officeDocument/2006/relationships/hyperlink" Target="http://www.lohikaarmeenluola.fi/SRD_HTML/Valtit/Valtit.php" TargetMode="External"/><Relationship Id="rId663" Type="http://schemas.openxmlformats.org/officeDocument/2006/relationships/hyperlink" Target="http://www.lohikaarmeenluola.fi/SRD_HTML/Valtit/Valtit.php" TargetMode="External"/><Relationship Id="rId13" Type="http://schemas.openxmlformats.org/officeDocument/2006/relationships/hyperlink" Target="http://www.lohikaarmeenluola.fi/SRD_HTML/S&amp;auml;&amp;auml;nt&amp;ouml;jen%20perusteet/S&amp;auml;&amp;auml;nt&amp;ouml;jen%20perusteet.php" TargetMode="External"/><Relationship Id="rId109" Type="http://schemas.openxmlformats.org/officeDocument/2006/relationships/hyperlink" Target="http://www.lohikaarmeenluola.fi/SRD_HTML/Taistelu/Vammat%20ja%20kuolema.php" TargetMode="External"/><Relationship Id="rId260" Type="http://schemas.openxmlformats.org/officeDocument/2006/relationships/hyperlink" Target="http://www.lohikaarmeenluola.fi/SRD_HTML/Varusteet%20ja%20erikoisaineet/Aseet.php" TargetMode="External"/><Relationship Id="rId316" Type="http://schemas.openxmlformats.org/officeDocument/2006/relationships/hyperlink" Target="http://www.lohikaarmeenluola.fi/SRD_HTML/Varusteet%20ja%20erikoisaineet/Aseet.php" TargetMode="External"/><Relationship Id="rId523" Type="http://schemas.openxmlformats.org/officeDocument/2006/relationships/hyperlink" Target="http://www.lohikaarmeenluola.fi/SRD_HTML/Valtit/Valtit.php" TargetMode="External"/><Relationship Id="rId55" Type="http://schemas.openxmlformats.org/officeDocument/2006/relationships/hyperlink" Target="http://www.lohikaarmeenluola.fi/SRD_HTML/Olotilat/Olotilojen%20yhteenveto.php" TargetMode="External"/><Relationship Id="rId97" Type="http://schemas.openxmlformats.org/officeDocument/2006/relationships/hyperlink" Target="http://www.lohikaarmeenluola.fi/SRD_HTML/Valtit/Valtit.php" TargetMode="External"/><Relationship Id="rId120" Type="http://schemas.openxmlformats.org/officeDocument/2006/relationships/hyperlink" Target="http://www.lohikaarmeenluola.fi/SRD_HTML/Loitsut/El&amp;auml;imen%20kutistus.php" TargetMode="External"/><Relationship Id="rId358" Type="http://schemas.openxmlformats.org/officeDocument/2006/relationships/hyperlink" Target="http://www.lohikaarmeenluola.fi/SRD_HTML/Valtit/Valtit.php" TargetMode="External"/><Relationship Id="rId565" Type="http://schemas.openxmlformats.org/officeDocument/2006/relationships/hyperlink" Target="http://www.lohikaarmeenluola.fi/SRD_HTML/Valtit/Valtit.php" TargetMode="External"/><Relationship Id="rId162" Type="http://schemas.openxmlformats.org/officeDocument/2006/relationships/hyperlink" Target="http://www.lohikaarmeenluola.fi/SRD_HTML/Taidot/Diplomatia.php" TargetMode="External"/><Relationship Id="rId218" Type="http://schemas.openxmlformats.org/officeDocument/2006/relationships/hyperlink" Target="http://www.lohikaarmeenluola.fi/SRD_HTML/Varusteet%20ja%20erikoisaineet/Aseet.php" TargetMode="External"/><Relationship Id="rId425" Type="http://schemas.openxmlformats.org/officeDocument/2006/relationships/hyperlink" Target="http://www.lohikaarmeenluola.fi/SRD_HTML/Valtit/Valtit.php" TargetMode="External"/><Relationship Id="rId467" Type="http://schemas.openxmlformats.org/officeDocument/2006/relationships/hyperlink" Target="http://www.lohikaarmeenluola.fi/SRD_HTML/Valtit/Valtit.php" TargetMode="External"/><Relationship Id="rId632" Type="http://schemas.openxmlformats.org/officeDocument/2006/relationships/hyperlink" Target="http://www.lohikaarmeenluola.fi/SRD_HTML/Valtit/Valtit.php" TargetMode="External"/><Relationship Id="rId271" Type="http://schemas.openxmlformats.org/officeDocument/2006/relationships/hyperlink" Target="http://www.lohikaarmeenluola.fi/SRD_HTML/Varusteet%20ja%20erikoisaineet/Aseet.php" TargetMode="External"/><Relationship Id="rId674" Type="http://schemas.openxmlformats.org/officeDocument/2006/relationships/hyperlink" Target="http://www.lohikaarmeenluola.fi/SRD_HTML/Hahmoluokat/Munkki.php" TargetMode="External"/><Relationship Id="rId24" Type="http://schemas.openxmlformats.org/officeDocument/2006/relationships/hyperlink" Target="http://www.lohikaarmeenluola.fi/SRD_HTML/S&amp;auml;&amp;auml;nt&amp;ouml;jen%20perusteet/S&amp;auml;&amp;auml;nt&amp;ouml;jen%20perusteet.php" TargetMode="External"/><Relationship Id="rId66" Type="http://schemas.openxmlformats.org/officeDocument/2006/relationships/hyperlink" Target="http://www.lohikaarmeenluola.fi/SRD_HTML/Olotilat/Olotilojen%20yhteenveto.php" TargetMode="External"/><Relationship Id="rId131" Type="http://schemas.openxmlformats.org/officeDocument/2006/relationships/hyperlink" Target="http://www.lohikaarmeenluola.fi/SRD_HTML/Loitsut/Ketunviekkaus.php" TargetMode="External"/><Relationship Id="rId327" Type="http://schemas.openxmlformats.org/officeDocument/2006/relationships/hyperlink" Target="http://www.lohikaarmeenluola.fi/SRD_HTML/Varusteet%20ja%20erikoisaineet/Aseet.php" TargetMode="External"/><Relationship Id="rId369" Type="http://schemas.openxmlformats.org/officeDocument/2006/relationships/hyperlink" Target="http://www.lohikaarmeenluola.fi/SRD_HTML/Valtit/Valtit.php" TargetMode="External"/><Relationship Id="rId534" Type="http://schemas.openxmlformats.org/officeDocument/2006/relationships/hyperlink" Target="http://www.lohikaarmeenluola.fi/SRD_HTML/Valtit/Valtit.php" TargetMode="External"/><Relationship Id="rId576" Type="http://schemas.openxmlformats.org/officeDocument/2006/relationships/hyperlink" Target="http://www.lohikaarmeenluola.fi/SRD_HTML/Valtit/Valtit.php" TargetMode="External"/><Relationship Id="rId173" Type="http://schemas.openxmlformats.org/officeDocument/2006/relationships/hyperlink" Target="http://www.lohikaarmeenluola.fi/SRD_HTML/Taidot/Esiintyminen.php" TargetMode="External"/><Relationship Id="rId229" Type="http://schemas.openxmlformats.org/officeDocument/2006/relationships/hyperlink" Target="http://www.lohikaarmeenluola.fi/SRD_HTML/Varusteet%20ja%20erikoisaineet/Aseet.php" TargetMode="External"/><Relationship Id="rId380" Type="http://schemas.openxmlformats.org/officeDocument/2006/relationships/hyperlink" Target="http://www.lohikaarmeenluola.fi/SRD_HTML/Valtit/Valtit.php" TargetMode="External"/><Relationship Id="rId436" Type="http://schemas.openxmlformats.org/officeDocument/2006/relationships/hyperlink" Target="http://www.lohikaarmeenluola.fi/SRD_HTML/Valtit/Valtit.php" TargetMode="External"/><Relationship Id="rId601" Type="http://schemas.openxmlformats.org/officeDocument/2006/relationships/hyperlink" Target="http://www.lohikaarmeenluola.fi/SRD_HTML/Valtit/Valtit.php" TargetMode="External"/><Relationship Id="rId643" Type="http://schemas.openxmlformats.org/officeDocument/2006/relationships/hyperlink" Target="http://www.lohikaarmeenluola.fi/SRD_HTML/Valtit/Valtit.php" TargetMode="External"/><Relationship Id="rId240" Type="http://schemas.openxmlformats.org/officeDocument/2006/relationships/hyperlink" Target="http://www.lohikaarmeenluola.fi/SRD_HTML/Varusteet%20ja%20erikoisaineet/Aseet.php" TargetMode="External"/><Relationship Id="rId478" Type="http://schemas.openxmlformats.org/officeDocument/2006/relationships/hyperlink" Target="http://www.lohikaarmeenluola.fi/SRD_HTML/Valtit/Valtit.php" TargetMode="External"/><Relationship Id="rId35" Type="http://schemas.openxmlformats.org/officeDocument/2006/relationships/hyperlink" Target="http://www.lohikaarmeenluola.fi/SRD_HTML/S&amp;auml;&amp;auml;nt&amp;ouml;jen%20perusteet/S&amp;auml;&amp;auml;nt&amp;ouml;jen%20perusteet.php" TargetMode="External"/><Relationship Id="rId77" Type="http://schemas.openxmlformats.org/officeDocument/2006/relationships/hyperlink" Target="http://www.lohikaarmeenluola.fi/SRD_HTML/Valtit/Valtit.php" TargetMode="External"/><Relationship Id="rId100" Type="http://schemas.openxmlformats.org/officeDocument/2006/relationships/hyperlink" Target="http://www.lohikaarmeenluola.fi/SRD_HTML/Valtit/Valtit.php" TargetMode="External"/><Relationship Id="rId282" Type="http://schemas.openxmlformats.org/officeDocument/2006/relationships/hyperlink" Target="http://www.lohikaarmeenluola.fi/SRD_HTML/Varusteet%20ja%20erikoisaineet/Aseet.php" TargetMode="External"/><Relationship Id="rId338" Type="http://schemas.openxmlformats.org/officeDocument/2006/relationships/hyperlink" Target="http://www.lohikaarmeenluola.fi/SRD_HTML/Varusteet%20ja%20erikoisaineet/Aseet.php" TargetMode="External"/><Relationship Id="rId503" Type="http://schemas.openxmlformats.org/officeDocument/2006/relationships/hyperlink" Target="http://www.lohikaarmeenluola.fi/SRD_HTML/Valtit/Valtit.php" TargetMode="External"/><Relationship Id="rId545" Type="http://schemas.openxmlformats.org/officeDocument/2006/relationships/hyperlink" Target="http://www.lohikaarmeenluola.fi/SRD_HTML/Valtit/Valtit.php" TargetMode="External"/><Relationship Id="rId587" Type="http://schemas.openxmlformats.org/officeDocument/2006/relationships/hyperlink" Target="http://www.lohikaarmeenluola.fi/SRD_HTML/Valtit/Valtit.php" TargetMode="External"/><Relationship Id="rId8" Type="http://schemas.openxmlformats.org/officeDocument/2006/relationships/hyperlink" Target="http://www.lohikaarmeenluola.fi/SRD_HTML/Taistelu/Liikkuminen,%20sijoittuminen%20ja%20v&amp;auml;limatkat.php" TargetMode="External"/><Relationship Id="rId142" Type="http://schemas.openxmlformats.org/officeDocument/2006/relationships/hyperlink" Target="http://www.lohikaarmeenluola.fi/SRD_HTML/Loitsut/Rukous.php" TargetMode="External"/><Relationship Id="rId184" Type="http://schemas.openxmlformats.org/officeDocument/2006/relationships/hyperlink" Target="http://www.lohikaarmeenluola.fi/SRD_HTML/Taidot/K&amp;auml;sity&amp;ouml;l&amp;auml;isyys.php" TargetMode="External"/><Relationship Id="rId391" Type="http://schemas.openxmlformats.org/officeDocument/2006/relationships/hyperlink" Target="http://www.lohikaarmeenluola.fi/SRD_HTML/Valtit/Valtit.php" TargetMode="External"/><Relationship Id="rId405" Type="http://schemas.openxmlformats.org/officeDocument/2006/relationships/hyperlink" Target="http://www.lohikaarmeenluola.fi/SRD_HTML/Valtit/Valtit.php" TargetMode="External"/><Relationship Id="rId447" Type="http://schemas.openxmlformats.org/officeDocument/2006/relationships/hyperlink" Target="http://www.lohikaarmeenluola.fi/SRD_HTML/Valtit/Valtit.php" TargetMode="External"/><Relationship Id="rId612" Type="http://schemas.openxmlformats.org/officeDocument/2006/relationships/hyperlink" Target="http://www.lohikaarmeenluola.fi/SRD_HTML/Valtit/Valtit.php" TargetMode="External"/><Relationship Id="rId251" Type="http://schemas.openxmlformats.org/officeDocument/2006/relationships/hyperlink" Target="http://www.lohikaarmeenluola.fi/SRD_HTML/Varusteet%20ja%20erikoisaineet/Aseet.php" TargetMode="External"/><Relationship Id="rId489" Type="http://schemas.openxmlformats.org/officeDocument/2006/relationships/hyperlink" Target="http://www.lohikaarmeenluola.fi/SRD_HTML/Valtit/Valtit.php" TargetMode="External"/><Relationship Id="rId654" Type="http://schemas.openxmlformats.org/officeDocument/2006/relationships/hyperlink" Target="http://www.lohikaarmeenluola.fi/SRD_HTML/Valtit/Valtit.php" TargetMode="External"/><Relationship Id="rId46" Type="http://schemas.openxmlformats.org/officeDocument/2006/relationships/hyperlink" Target="http://www.lohikaarmeenluola.fi/SRD_HTML/Taistelu/Toiminnot%20taistelun%20aikana.php" TargetMode="External"/><Relationship Id="rId293" Type="http://schemas.openxmlformats.org/officeDocument/2006/relationships/hyperlink" Target="http://www.lohikaarmeenluola.fi/SRD_HTML/Varusteet%20ja%20erikoisaineet/Aseet.php" TargetMode="External"/><Relationship Id="rId307" Type="http://schemas.openxmlformats.org/officeDocument/2006/relationships/hyperlink" Target="http://www.lohikaarmeenluola.fi/SRD_HTML/Varusteet%20ja%20erikoisaineet/Aseet.php" TargetMode="External"/><Relationship Id="rId349" Type="http://schemas.openxmlformats.org/officeDocument/2006/relationships/hyperlink" Target="http://www.lohikaarmeenluola.fi/SRD_HTML/Varusteet%20ja%20erikoisaineet/Aseet.php" TargetMode="External"/><Relationship Id="rId514" Type="http://schemas.openxmlformats.org/officeDocument/2006/relationships/hyperlink" Target="http://www.lohikaarmeenluola.fi/SRD_HTML/Valtit/Valtit.php" TargetMode="External"/><Relationship Id="rId556" Type="http://schemas.openxmlformats.org/officeDocument/2006/relationships/hyperlink" Target="http://www.lohikaarmeenluola.fi/SRD_HTML/Valtit/Valtit.php" TargetMode="External"/><Relationship Id="rId88" Type="http://schemas.openxmlformats.org/officeDocument/2006/relationships/hyperlink" Target="http://www.lohikaarmeenluola.fi/SRD_HTML/Valtit/Valtit.php" TargetMode="External"/><Relationship Id="rId111" Type="http://schemas.openxmlformats.org/officeDocument/2006/relationships/hyperlink" Target="http://www.lohikaarmeenluola.fi/SRD_HTML/Hahmoluokat/Barbaari.php" TargetMode="External"/><Relationship Id="rId153" Type="http://schemas.openxmlformats.org/officeDocument/2006/relationships/hyperlink" Target="http://www.lohikaarmeenluola.fi/SRD_HTML/Kantokyky%20ja%20liikkuminen/Kantokyky.php" TargetMode="External"/><Relationship Id="rId195" Type="http://schemas.openxmlformats.org/officeDocument/2006/relationships/hyperlink" Target="http://www.lohikaarmeenluola.fi/SRD_HTML/Taidot/Silm&amp;auml;nk&amp;auml;&amp;auml;nt&amp;ouml;.php" TargetMode="External"/><Relationship Id="rId209" Type="http://schemas.openxmlformats.org/officeDocument/2006/relationships/hyperlink" Target="http://www.lohikaarmeenluola.fi/SRD_HTML/Taidot/Tiet&amp;auml;mys.php" TargetMode="External"/><Relationship Id="rId360" Type="http://schemas.openxmlformats.org/officeDocument/2006/relationships/hyperlink" Target="http://www.lohikaarmeenluola.fi/SRD_HTML/Valtit/Valtit.php" TargetMode="External"/><Relationship Id="rId416" Type="http://schemas.openxmlformats.org/officeDocument/2006/relationships/hyperlink" Target="http://www.lohikaarmeenluola.fi/SRD_HTML/Valtit/Valtit.php" TargetMode="External"/><Relationship Id="rId598" Type="http://schemas.openxmlformats.org/officeDocument/2006/relationships/hyperlink" Target="http://www.lohikaarmeenluola.fi/SRD_HTML/Valtit/Valtit.php" TargetMode="External"/><Relationship Id="rId220" Type="http://schemas.openxmlformats.org/officeDocument/2006/relationships/hyperlink" Target="http://www.lohikaarmeenluola.fi/SRD_HTML/Varusteet%20ja%20erikoisaineet/Aseet.php" TargetMode="External"/><Relationship Id="rId458" Type="http://schemas.openxmlformats.org/officeDocument/2006/relationships/hyperlink" Target="http://www.lohikaarmeenluola.fi/SRD_HTML/Valtit/Valtit.php" TargetMode="External"/><Relationship Id="rId623" Type="http://schemas.openxmlformats.org/officeDocument/2006/relationships/hyperlink" Target="http://www.lohikaarmeenluola.fi/SRD_HTML/Valtit/Valtit.php" TargetMode="External"/><Relationship Id="rId665" Type="http://schemas.openxmlformats.org/officeDocument/2006/relationships/hyperlink" Target="http://www.lohikaarmeenluola.fi/SRD_HTML/Valtit/Valtit.php" TargetMode="External"/><Relationship Id="rId15" Type="http://schemas.openxmlformats.org/officeDocument/2006/relationships/hyperlink" Target="http://www.lohikaarmeenluola.fi/SRD_HTML/S&amp;auml;&amp;auml;nt&amp;ouml;jen%20perusteet/S&amp;auml;&amp;auml;nt&amp;ouml;jen%20perusteet.php" TargetMode="External"/><Relationship Id="rId57" Type="http://schemas.openxmlformats.org/officeDocument/2006/relationships/hyperlink" Target="http://www.lohikaarmeenluola.fi/SRD_HTML/Olotilat/Olotilojen%20yhteenveto.php" TargetMode="External"/><Relationship Id="rId262" Type="http://schemas.openxmlformats.org/officeDocument/2006/relationships/hyperlink" Target="http://www.lohikaarmeenluola.fi/SRD_HTML/Varusteet%20ja%20erikoisaineet/Aseet.php" TargetMode="External"/><Relationship Id="rId318" Type="http://schemas.openxmlformats.org/officeDocument/2006/relationships/hyperlink" Target="http://www.lohikaarmeenluola.fi/SRD_HTML/Varusteet%20ja%20erikoisaineet/Aseet.php" TargetMode="External"/><Relationship Id="rId525" Type="http://schemas.openxmlformats.org/officeDocument/2006/relationships/hyperlink" Target="http://www.lohikaarmeenluola.fi/SRD_HTML/Valtit/Valtit.php" TargetMode="External"/><Relationship Id="rId567" Type="http://schemas.openxmlformats.org/officeDocument/2006/relationships/hyperlink" Target="http://www.lohikaarmeenluola.fi/SRD_HTML/Valtit/Valtit.php" TargetMode="External"/><Relationship Id="rId99" Type="http://schemas.openxmlformats.org/officeDocument/2006/relationships/hyperlink" Target="http://www.lohikaarmeenluola.fi/SRD_HTML/Valtit/Valtit.php" TargetMode="External"/><Relationship Id="rId122" Type="http://schemas.openxmlformats.org/officeDocument/2006/relationships/hyperlink" Target="http://www.lohikaarmeenluola.fi/SRD_HTML/Loitsut/Ennaltan&amp;auml;kemisen%20lahja.php" TargetMode="External"/><Relationship Id="rId164" Type="http://schemas.openxmlformats.org/officeDocument/2006/relationships/hyperlink" Target="http://www.lohikaarmeenluola.fi/SRD_HTML/Taidot/Er&amp;auml;nk&amp;auml;ynti.php" TargetMode="External"/><Relationship Id="rId371" Type="http://schemas.openxmlformats.org/officeDocument/2006/relationships/hyperlink" Target="http://www.lohikaarmeenluola.fi/SRD_HTML/Valtit/Valtit.php" TargetMode="External"/><Relationship Id="rId427" Type="http://schemas.openxmlformats.org/officeDocument/2006/relationships/hyperlink" Target="http://www.lohikaarmeenluola.fi/SRD_HTML/Valtit/Valtit.php" TargetMode="External"/><Relationship Id="rId469" Type="http://schemas.openxmlformats.org/officeDocument/2006/relationships/hyperlink" Target="http://www.lohikaarmeenluola.fi/SRD_HTML/Valtit/Valtit.php" TargetMode="External"/><Relationship Id="rId634" Type="http://schemas.openxmlformats.org/officeDocument/2006/relationships/hyperlink" Target="http://www.lohikaarmeenluola.fi/SRD_HTML/Valtit/Valtit.php" TargetMode="External"/><Relationship Id="rId26" Type="http://schemas.openxmlformats.org/officeDocument/2006/relationships/hyperlink" Target="http://www.lohikaarmeenluola.fi/SRD_HTML/Taistelu/Liikkuminen,%20sijoittuminen%20ja%20v&amp;auml;limatkat.php" TargetMode="External"/><Relationship Id="rId231" Type="http://schemas.openxmlformats.org/officeDocument/2006/relationships/hyperlink" Target="http://www.lohikaarmeenluola.fi/SRD_HTML/Varusteet%20ja%20erikoisaineet/Haarniskat%20ja%20kilvet.php" TargetMode="External"/><Relationship Id="rId273" Type="http://schemas.openxmlformats.org/officeDocument/2006/relationships/hyperlink" Target="http://www.lohikaarmeenluola.fi/SRD_HTML/Varusteet%20ja%20erikoisaineet/Aseet.php" TargetMode="External"/><Relationship Id="rId329" Type="http://schemas.openxmlformats.org/officeDocument/2006/relationships/hyperlink" Target="http://www.lohikaarmeenluola.fi/SRD_HTML/Varusteet%20ja%20erikoisaineet/Aseet.php" TargetMode="External"/><Relationship Id="rId480" Type="http://schemas.openxmlformats.org/officeDocument/2006/relationships/hyperlink" Target="http://www.lohikaarmeenluola.fi/SRD_HTML/Valtit/Valtit.php" TargetMode="External"/><Relationship Id="rId536" Type="http://schemas.openxmlformats.org/officeDocument/2006/relationships/hyperlink" Target="http://www.lohikaarmeenluola.fi/SRD_HTML/Valtit/Valtit.php" TargetMode="External"/><Relationship Id="rId68" Type="http://schemas.openxmlformats.org/officeDocument/2006/relationships/hyperlink" Target="http://www.lohikaarmeenluola.fi/SRD_HTML/Olotilat/Olotilojen%20yhteenveto.php" TargetMode="External"/><Relationship Id="rId133" Type="http://schemas.openxmlformats.org/officeDocument/2006/relationships/hyperlink" Target="http://www.lohikaarmeenluola.fi/SRD_HTML/Loitsut/Kissannotkeus.php" TargetMode="External"/><Relationship Id="rId175" Type="http://schemas.openxmlformats.org/officeDocument/2006/relationships/hyperlink" Target="http://www.lohikaarmeenluola.fi/SRD_HTML/Taidot/Etsint&amp;auml;.php" TargetMode="External"/><Relationship Id="rId340" Type="http://schemas.openxmlformats.org/officeDocument/2006/relationships/hyperlink" Target="http://www.lohikaarmeenluola.fi/SRD_HTML/Varusteet%20ja%20erikoisaineet/Aseet.php" TargetMode="External"/><Relationship Id="rId578" Type="http://schemas.openxmlformats.org/officeDocument/2006/relationships/hyperlink" Target="http://www.lohikaarmeenluola.fi/SRD_HTML/Valtit/Valtit.php" TargetMode="External"/><Relationship Id="rId200" Type="http://schemas.openxmlformats.org/officeDocument/2006/relationships/hyperlink" Target="http://www.lohikaarmeenluola.fi/SRD_HTML/Taidot/Tiet&amp;auml;mys.php" TargetMode="External"/><Relationship Id="rId382" Type="http://schemas.openxmlformats.org/officeDocument/2006/relationships/hyperlink" Target="http://www.lohikaarmeenluola.fi/SRD_HTML/Valtit/Valtit.php" TargetMode="External"/><Relationship Id="rId438" Type="http://schemas.openxmlformats.org/officeDocument/2006/relationships/hyperlink" Target="http://www.lohikaarmeenluola.fi/SRD_HTML/Valtit/Valtit.php" TargetMode="External"/><Relationship Id="rId603" Type="http://schemas.openxmlformats.org/officeDocument/2006/relationships/hyperlink" Target="http://www.lohikaarmeenluola.fi/SRD_HTML/Valtit/Valtit.php" TargetMode="External"/><Relationship Id="rId645" Type="http://schemas.openxmlformats.org/officeDocument/2006/relationships/hyperlink" Target="http://www.lohikaarmeenluola.fi/SRD_HTML/Valtit/Valtit.php" TargetMode="External"/><Relationship Id="rId242" Type="http://schemas.openxmlformats.org/officeDocument/2006/relationships/hyperlink" Target="http://www.lohikaarmeenluola.fi/SRD_HTML/Varusteet%20ja%20erikoisaineet/Aseet.php" TargetMode="External"/><Relationship Id="rId284" Type="http://schemas.openxmlformats.org/officeDocument/2006/relationships/hyperlink" Target="http://www.lohikaarmeenluola.fi/SRD_HTML/Varusteet%20ja%20erikoisaineet/Aseet.php" TargetMode="External"/><Relationship Id="rId491" Type="http://schemas.openxmlformats.org/officeDocument/2006/relationships/hyperlink" Target="http://www.lohikaarmeenluola.fi/SRD_HTML/Valtit/Valtit.php" TargetMode="External"/><Relationship Id="rId505" Type="http://schemas.openxmlformats.org/officeDocument/2006/relationships/hyperlink" Target="http://www.lohikaarmeenluola.fi/SRD_HTML/Valtit/Valtit.php" TargetMode="External"/><Relationship Id="rId37" Type="http://schemas.openxmlformats.org/officeDocument/2006/relationships/hyperlink" Target="http://www.lohikaarmeenluola.fi/SRD_HTML/Erikoiskyvyt/Erikoiskyvyt.php" TargetMode="External"/><Relationship Id="rId79" Type="http://schemas.openxmlformats.org/officeDocument/2006/relationships/hyperlink" Target="http://www.lohikaarmeenluola.fi/SRD_HTML/Valtit/Valtit.php" TargetMode="External"/><Relationship Id="rId102" Type="http://schemas.openxmlformats.org/officeDocument/2006/relationships/hyperlink" Target="http://www.lohikaarmeenluola.fi/SRD_HTML/Valtit/Valtit.php" TargetMode="External"/><Relationship Id="rId144" Type="http://schemas.openxmlformats.org/officeDocument/2006/relationships/hyperlink" Target="http://www.lohikaarmeenluola.fi/SRD_HTML/Loitsut/Sankarien%20pidot.php" TargetMode="External"/><Relationship Id="rId547" Type="http://schemas.openxmlformats.org/officeDocument/2006/relationships/hyperlink" Target="http://www.lohikaarmeenluola.fi/SRD_HTML/Valtit/Valtit.php" TargetMode="External"/><Relationship Id="rId589" Type="http://schemas.openxmlformats.org/officeDocument/2006/relationships/hyperlink" Target="http://www.lohikaarmeenluola.fi/SRD_HTML/Valtit/Valtit.php" TargetMode="External"/><Relationship Id="rId90" Type="http://schemas.openxmlformats.org/officeDocument/2006/relationships/hyperlink" Target="http://www.lohikaarmeenluola.fi/SRD_HTML/Valtit/Valtit.php" TargetMode="External"/><Relationship Id="rId186" Type="http://schemas.openxmlformats.org/officeDocument/2006/relationships/hyperlink" Target="http://www.lohikaarmeenluola.fi/SRD_HTML/Taidot/K&amp;auml;sity&amp;ouml;l&amp;auml;isyys.php" TargetMode="External"/><Relationship Id="rId351" Type="http://schemas.openxmlformats.org/officeDocument/2006/relationships/hyperlink" Target="http://www.lohikaarmeenluola.fi/SRD_HTML/Valtit/Valtit.php" TargetMode="External"/><Relationship Id="rId393" Type="http://schemas.openxmlformats.org/officeDocument/2006/relationships/hyperlink" Target="http://www.lohikaarmeenluola.fi/SRD_HTML/Valtit/Valtit.php" TargetMode="External"/><Relationship Id="rId407" Type="http://schemas.openxmlformats.org/officeDocument/2006/relationships/hyperlink" Target="http://www.lohikaarmeenluola.fi/SRD_HTML/Valtit/Valtit.php" TargetMode="External"/><Relationship Id="rId449" Type="http://schemas.openxmlformats.org/officeDocument/2006/relationships/hyperlink" Target="http://www.lohikaarmeenluola.fi/SRD_HTML/Valtit/Valtit.php" TargetMode="External"/><Relationship Id="rId614" Type="http://schemas.openxmlformats.org/officeDocument/2006/relationships/hyperlink" Target="http://www.lohikaarmeenluola.fi/SRD_HTML/Valtit/Valtit.php" TargetMode="External"/><Relationship Id="rId656" Type="http://schemas.openxmlformats.org/officeDocument/2006/relationships/hyperlink" Target="http://www.lohikaarmeenluola.fi/SRD_HTML/Valtit/Valtit.php" TargetMode="External"/><Relationship Id="rId211" Type="http://schemas.openxmlformats.org/officeDocument/2006/relationships/hyperlink" Target="http://www.lohikaarmeenluola.fi/SRD_HTML/Taidot/Uinti.php" TargetMode="External"/><Relationship Id="rId253" Type="http://schemas.openxmlformats.org/officeDocument/2006/relationships/hyperlink" Target="http://www.lohikaarmeenluola.fi/SRD_HTML/Varusteet%20ja%20erikoisaineet/Aseet.php" TargetMode="External"/><Relationship Id="rId295" Type="http://schemas.openxmlformats.org/officeDocument/2006/relationships/hyperlink" Target="http://www.lohikaarmeenluola.fi/SRD_HTML/Varusteet%20ja%20erikoisaineet/Aseet.php" TargetMode="External"/><Relationship Id="rId309" Type="http://schemas.openxmlformats.org/officeDocument/2006/relationships/hyperlink" Target="http://www.lohikaarmeenluola.fi/SRD_HTML/Varusteet%20ja%20erikoisaineet/Aseet.php" TargetMode="External"/><Relationship Id="rId460" Type="http://schemas.openxmlformats.org/officeDocument/2006/relationships/hyperlink" Target="http://www.lohikaarmeenluola.fi/SRD_HTML/Valtit/Valtit.php" TargetMode="External"/><Relationship Id="rId516" Type="http://schemas.openxmlformats.org/officeDocument/2006/relationships/hyperlink" Target="http://www.lohikaarmeenluola.fi/SRD_HTML/Valtit/Valtit.php" TargetMode="External"/><Relationship Id="rId48" Type="http://schemas.openxmlformats.org/officeDocument/2006/relationships/hyperlink" Target="http://www.lohikaarmeenluola.fi/SRD_HTML/Taistelu/Liikkuminen,%20sijoittuminen%20ja%20v&amp;auml;limatkat.php" TargetMode="External"/><Relationship Id="rId113" Type="http://schemas.openxmlformats.org/officeDocument/2006/relationships/hyperlink" Target="http://www.lohikaarmeenluola.fi/SRD_HTML/Hahmoluokat/Bardi.php" TargetMode="External"/><Relationship Id="rId320" Type="http://schemas.openxmlformats.org/officeDocument/2006/relationships/hyperlink" Target="http://www.lohikaarmeenluola.fi/SRD_HTML/Varusteet%20ja%20erikoisaineet/Aseet.php" TargetMode="External"/><Relationship Id="rId558" Type="http://schemas.openxmlformats.org/officeDocument/2006/relationships/hyperlink" Target="http://www.lohikaarmeenluola.fi/SRD_HTML/Valtit/Valtit.php" TargetMode="External"/><Relationship Id="rId155" Type="http://schemas.openxmlformats.org/officeDocument/2006/relationships/hyperlink" Target="http://www.lohikaarmeenluola.fi/SRD_HTML/Taidot/Taitojen%20perusteet.php" TargetMode="External"/><Relationship Id="rId197" Type="http://schemas.openxmlformats.org/officeDocument/2006/relationships/hyperlink" Target="http://www.lohikaarmeenluola.fi/SRD_HTML/Taidot/Tasapainoilu.php" TargetMode="External"/><Relationship Id="rId362" Type="http://schemas.openxmlformats.org/officeDocument/2006/relationships/hyperlink" Target="http://www.lohikaarmeenluola.fi/SRD_HTML/Valtit/Valtit.php" TargetMode="External"/><Relationship Id="rId418" Type="http://schemas.openxmlformats.org/officeDocument/2006/relationships/hyperlink" Target="http://www.lohikaarmeenluola.fi/SRD_HTML/Valtit/Valtit.php" TargetMode="External"/><Relationship Id="rId625" Type="http://schemas.openxmlformats.org/officeDocument/2006/relationships/hyperlink" Target="http://www.lohikaarmeenluola.fi/SRD_HTML/Valtit/Valtit.php" TargetMode="External"/><Relationship Id="rId222" Type="http://schemas.openxmlformats.org/officeDocument/2006/relationships/hyperlink" Target="http://www.lohikaarmeenluola.fi/SRD_HTML/Varusteet%20ja%20erikoisaineet/Aseet.php" TargetMode="External"/><Relationship Id="rId264" Type="http://schemas.openxmlformats.org/officeDocument/2006/relationships/hyperlink" Target="http://www.lohikaarmeenluola.fi/SRD_HTML/Varusteet%20ja%20erikoisaineet/Aseet.php" TargetMode="External"/><Relationship Id="rId471" Type="http://schemas.openxmlformats.org/officeDocument/2006/relationships/hyperlink" Target="http://www.lohikaarmeenluola.fi/SRD_HTML/Valtit/Valtit.php" TargetMode="External"/><Relationship Id="rId667" Type="http://schemas.openxmlformats.org/officeDocument/2006/relationships/hyperlink" Target="http://www.lohikaarmeenluola.fi/SRD_HTML/Valtit/Valtit.php" TargetMode="External"/><Relationship Id="rId17" Type="http://schemas.openxmlformats.org/officeDocument/2006/relationships/hyperlink" Target="http://www.lohikaarmeenluola.fi/SRD_HTML/Taistelu/Taistelun%20k&amp;auml;sitteet.php" TargetMode="External"/><Relationship Id="rId59" Type="http://schemas.openxmlformats.org/officeDocument/2006/relationships/hyperlink" Target="http://www.lohikaarmeenluola.fi/SRD_HTML/Olotilat/Olotilojen%20yhteenveto.php" TargetMode="External"/><Relationship Id="rId124" Type="http://schemas.openxmlformats.org/officeDocument/2006/relationships/hyperlink" Target="http://www.lohikaarmeenluola.fi/SRD_HTML/Loitsut/Hidastus.php" TargetMode="External"/><Relationship Id="rId527" Type="http://schemas.openxmlformats.org/officeDocument/2006/relationships/hyperlink" Target="http://www.lohikaarmeenluola.fi/SRD_HTML/Valtit/Valtit.php" TargetMode="External"/><Relationship Id="rId569" Type="http://schemas.openxmlformats.org/officeDocument/2006/relationships/hyperlink" Target="http://www.lohikaarmeenluola.fi/SRD_HTML/Valtit/Valtit.php" TargetMode="External"/><Relationship Id="rId70" Type="http://schemas.openxmlformats.org/officeDocument/2006/relationships/hyperlink" Target="http://www.lohikaarmeenluola.fi/SRD_HTML/Olotilat/Olotilojen%20yhteenveto.php" TargetMode="External"/><Relationship Id="rId166" Type="http://schemas.openxmlformats.org/officeDocument/2006/relationships/hyperlink" Target="http://www.lohikaarmeenluola.fi/SRD_HTML/Taidot/Esiintyminen.php" TargetMode="External"/><Relationship Id="rId331" Type="http://schemas.openxmlformats.org/officeDocument/2006/relationships/hyperlink" Target="http://www.lohikaarmeenluola.fi/SRD_HTML/Varusteet%20ja%20erikoisaineet/Aseet.php" TargetMode="External"/><Relationship Id="rId373" Type="http://schemas.openxmlformats.org/officeDocument/2006/relationships/hyperlink" Target="http://www.lohikaarmeenluola.fi/SRD_HTML/Valtit/Valtit.php" TargetMode="External"/><Relationship Id="rId429" Type="http://schemas.openxmlformats.org/officeDocument/2006/relationships/hyperlink" Target="http://www.lohikaarmeenluola.fi/SRD_HTML/Valtit/Valtit.php" TargetMode="External"/><Relationship Id="rId580" Type="http://schemas.openxmlformats.org/officeDocument/2006/relationships/hyperlink" Target="http://www.lohikaarmeenluola.fi/SRD_HTML/Valtit/Valtit.php" TargetMode="External"/><Relationship Id="rId636" Type="http://schemas.openxmlformats.org/officeDocument/2006/relationships/hyperlink" Target="http://www.lohikaarmeenluola.fi/SRD_HTML/Valtit/Valtit.php" TargetMode="External"/><Relationship Id="rId1" Type="http://schemas.openxmlformats.org/officeDocument/2006/relationships/hyperlink" Target="http://www.lohikaarmeenluola.fi/SRD_HTML/Hahmoluokat/Erikoisluokat.php" TargetMode="External"/><Relationship Id="rId233" Type="http://schemas.openxmlformats.org/officeDocument/2006/relationships/hyperlink" Target="http://www.lohikaarmeenluola.fi/SRD_HTML/Varusteet%20ja%20erikoisaineet/Aseet.php" TargetMode="External"/><Relationship Id="rId440" Type="http://schemas.openxmlformats.org/officeDocument/2006/relationships/hyperlink" Target="http://www.lohikaarmeenluola.fi/SRD_HTML/Valtit/Valtit.php" TargetMode="External"/><Relationship Id="rId28" Type="http://schemas.openxmlformats.org/officeDocument/2006/relationships/hyperlink" Target="http://www.lohikaarmeenluola.fi/SRD_HTML/Taistelu/Taistelumuuntimet.php" TargetMode="External"/><Relationship Id="rId275" Type="http://schemas.openxmlformats.org/officeDocument/2006/relationships/hyperlink" Target="http://www.lohikaarmeenluola.fi/SRD_HTML/Erikoiskyvyt/Erikoiskyvyt.php" TargetMode="External"/><Relationship Id="rId300" Type="http://schemas.openxmlformats.org/officeDocument/2006/relationships/hyperlink" Target="http://www.lohikaarmeenluola.fi/SRD_HTML/Varusteet%20ja%20erikoisaineet/Aseet.php" TargetMode="External"/><Relationship Id="rId482" Type="http://schemas.openxmlformats.org/officeDocument/2006/relationships/hyperlink" Target="http://www.lohikaarmeenluola.fi/SRD_HTML/Valtit/Valtit.php" TargetMode="External"/><Relationship Id="rId538" Type="http://schemas.openxmlformats.org/officeDocument/2006/relationships/hyperlink" Target="http://www.lohikaarmeenluola.fi/SRD_HTML/Valtit/Valtit.php" TargetMode="External"/><Relationship Id="rId81" Type="http://schemas.openxmlformats.org/officeDocument/2006/relationships/hyperlink" Target="http://www.lohikaarmeenluola.fi/SRD_HTML/Valtit/Valtit.php" TargetMode="External"/><Relationship Id="rId135" Type="http://schemas.openxmlformats.org/officeDocument/2006/relationships/hyperlink" Target="http://www.lohikaarmeenluola.fi/SRD_HTML/Loitsut/Kotkanloisto.php" TargetMode="External"/><Relationship Id="rId177" Type="http://schemas.openxmlformats.org/officeDocument/2006/relationships/hyperlink" Target="http://www.lohikaarmeenluola.fi/SRD_HTML/Taidot/H&amp;auml;m&amp;auml;ys.php" TargetMode="External"/><Relationship Id="rId342" Type="http://schemas.openxmlformats.org/officeDocument/2006/relationships/hyperlink" Target="http://www.lohikaarmeenluola.fi/SRD_HTML/Varusteet%20ja%20erikoisaineet/Aseet.php" TargetMode="External"/><Relationship Id="rId384" Type="http://schemas.openxmlformats.org/officeDocument/2006/relationships/hyperlink" Target="http://www.lohikaarmeenluola.fi/SRD_HTML/Valtit/Valtit.php" TargetMode="External"/><Relationship Id="rId591" Type="http://schemas.openxmlformats.org/officeDocument/2006/relationships/hyperlink" Target="http://www.lohikaarmeenluola.fi/SRD_HTML/Valtit/Valtit.php" TargetMode="External"/><Relationship Id="rId605" Type="http://schemas.openxmlformats.org/officeDocument/2006/relationships/hyperlink" Target="http://www.lohikaarmeenluola.fi/SRD_HTML/Valtit/Valtit.php" TargetMode="External"/><Relationship Id="rId202" Type="http://schemas.openxmlformats.org/officeDocument/2006/relationships/hyperlink" Target="http://www.lohikaarmeenluola.fi/SRD_HTML/Taidot/Tiet&amp;auml;mys.php" TargetMode="External"/><Relationship Id="rId244" Type="http://schemas.openxmlformats.org/officeDocument/2006/relationships/hyperlink" Target="http://www.lohikaarmeenluola.fi/SRD_HTML/Varusteet%20ja%20erikoisaineet/Aseet.php" TargetMode="External"/><Relationship Id="rId647" Type="http://schemas.openxmlformats.org/officeDocument/2006/relationships/hyperlink" Target="http://www.lohikaarmeenluola.fi/SRD_HTML/Valtit/Valtit.php" TargetMode="External"/><Relationship Id="rId39" Type="http://schemas.openxmlformats.org/officeDocument/2006/relationships/hyperlink" Target="http://www.lohikaarmeenluola.fi/SRD_HTML/Taistelu/Taistelun%20k&amp;auml;sitteet.php" TargetMode="External"/><Relationship Id="rId286" Type="http://schemas.openxmlformats.org/officeDocument/2006/relationships/hyperlink" Target="http://www.lohikaarmeenluola.fi/SRD_HTML/Varusteet%20ja%20erikoisaineet/Aseet.php" TargetMode="External"/><Relationship Id="rId451" Type="http://schemas.openxmlformats.org/officeDocument/2006/relationships/hyperlink" Target="http://www.lohikaarmeenluola.fi/SRD_HTML/Valtit/Valtit.php" TargetMode="External"/><Relationship Id="rId493" Type="http://schemas.openxmlformats.org/officeDocument/2006/relationships/hyperlink" Target="http://www.lohikaarmeenluola.fi/SRD_HTML/Valtit/Valtit.php" TargetMode="External"/><Relationship Id="rId507" Type="http://schemas.openxmlformats.org/officeDocument/2006/relationships/hyperlink" Target="http://www.lohikaarmeenluola.fi/SRD_HTML/Valtit/Valtit.php" TargetMode="External"/><Relationship Id="rId549" Type="http://schemas.openxmlformats.org/officeDocument/2006/relationships/hyperlink" Target="http://www.lohikaarmeenluola.fi/SRD_HTML/Valtit/Valtit.php" TargetMode="External"/><Relationship Id="rId50" Type="http://schemas.openxmlformats.org/officeDocument/2006/relationships/hyperlink" Target="http://www.lohikaarmeenluola.fi/SRD_HTML/Taistelu/Taistelumuuntimet.php" TargetMode="External"/><Relationship Id="rId104" Type="http://schemas.openxmlformats.org/officeDocument/2006/relationships/hyperlink" Target="http://www.lohikaarmeenluola.fi/SRD_HTML/Valtit/Valtit.php" TargetMode="External"/><Relationship Id="rId146" Type="http://schemas.openxmlformats.org/officeDocument/2006/relationships/hyperlink" Target="http://www.lohikaarmeenluola.fi/SRD_HTML/Loitsut/Sankaruus,%20v&amp;auml;kev&amp;auml;.php" TargetMode="External"/><Relationship Id="rId188" Type="http://schemas.openxmlformats.org/officeDocument/2006/relationships/hyperlink" Target="http://www.lohikaarmeenluola.fi/SRD_HTML/Taidot/Laitteen%20purkaminen.php" TargetMode="External"/><Relationship Id="rId311" Type="http://schemas.openxmlformats.org/officeDocument/2006/relationships/hyperlink" Target="http://www.lohikaarmeenluola.fi/SRD_HTML/Varusteet%20ja%20erikoisaineet/Aseet.php" TargetMode="External"/><Relationship Id="rId353" Type="http://schemas.openxmlformats.org/officeDocument/2006/relationships/hyperlink" Target="http://www.lohikaarmeenluola.fi/SRD_HTML/Valtit/Valtit.php" TargetMode="External"/><Relationship Id="rId395" Type="http://schemas.openxmlformats.org/officeDocument/2006/relationships/hyperlink" Target="http://www.lohikaarmeenluola.fi/SRD_HTML/Valtit/Valtit.php" TargetMode="External"/><Relationship Id="rId409" Type="http://schemas.openxmlformats.org/officeDocument/2006/relationships/hyperlink" Target="http://www.lohikaarmeenluola.fi/SRD_HTML/Valtit/Valtit.php" TargetMode="External"/><Relationship Id="rId560" Type="http://schemas.openxmlformats.org/officeDocument/2006/relationships/hyperlink" Target="http://www.lohikaarmeenluola.fi/SRD_HTML/Valtit/Valtit.php" TargetMode="External"/><Relationship Id="rId92" Type="http://schemas.openxmlformats.org/officeDocument/2006/relationships/hyperlink" Target="http://www.lohikaarmeenluola.fi/SRD_HTML/Hirvi&amp;ouml;iden%20valtit/Hirvi&amp;ouml;iden%20valtit.php" TargetMode="External"/><Relationship Id="rId213" Type="http://schemas.openxmlformats.org/officeDocument/2006/relationships/hyperlink" Target="http://www.lohikaarmeenluola.fi/SRD_HTML/Taidot/&amp;Auml;&amp;auml;net&amp;ouml;n%20liike.php" TargetMode="External"/><Relationship Id="rId420" Type="http://schemas.openxmlformats.org/officeDocument/2006/relationships/hyperlink" Target="http://www.lohikaarmeenluola.fi/SRD_HTML/Valtit/Valtit.php" TargetMode="External"/><Relationship Id="rId616" Type="http://schemas.openxmlformats.org/officeDocument/2006/relationships/hyperlink" Target="http://www.lohikaarmeenluola.fi/SRD_HTML/Valtit/Valtit.php" TargetMode="External"/><Relationship Id="rId658" Type="http://schemas.openxmlformats.org/officeDocument/2006/relationships/hyperlink" Target="http://www.lohikaarmeenluola.fi/SRD_HTML/Valtit/Valtit.php" TargetMode="External"/><Relationship Id="rId255" Type="http://schemas.openxmlformats.org/officeDocument/2006/relationships/hyperlink" Target="http://www.lohikaarmeenluola.fi/SRD_HTML/Varusteet%20ja%20erikoisaineet/Aseet.php" TargetMode="External"/><Relationship Id="rId297" Type="http://schemas.openxmlformats.org/officeDocument/2006/relationships/hyperlink" Target="http://www.lohikaarmeenluola.fi/SRD_HTML/Varusteet%20ja%20erikoisaineet/Aseet.php" TargetMode="External"/><Relationship Id="rId462" Type="http://schemas.openxmlformats.org/officeDocument/2006/relationships/hyperlink" Target="http://www.lohikaarmeenluola.fi/SRD_HTML/Valtit/Valtit.php" TargetMode="External"/><Relationship Id="rId518" Type="http://schemas.openxmlformats.org/officeDocument/2006/relationships/hyperlink" Target="http://www.lohikaarmeenluola.fi/SRD_HTML/Valtit/Valtit.php" TargetMode="External"/><Relationship Id="rId115" Type="http://schemas.openxmlformats.org/officeDocument/2006/relationships/hyperlink" Target="http://www.lohikaarmeenluola.fi/SRD_HTML/Hahmoluokat/Barbaari.php" TargetMode="External"/><Relationship Id="rId157" Type="http://schemas.openxmlformats.org/officeDocument/2006/relationships/hyperlink" Target="http://www.lohikaarmeenluola.fi/SRD_HTML/Taidot/Aikeen%20aavistus.php" TargetMode="External"/><Relationship Id="rId322" Type="http://schemas.openxmlformats.org/officeDocument/2006/relationships/hyperlink" Target="http://www.lohikaarmeenluola.fi/SRD_HTML/Varusteet%20ja%20erikoisaineet/Aseet.php" TargetMode="External"/><Relationship Id="rId364" Type="http://schemas.openxmlformats.org/officeDocument/2006/relationships/hyperlink" Target="http://www.lohikaarmeenluola.fi/SRD_HTML/Valtit/Valtit.php" TargetMode="External"/><Relationship Id="rId61" Type="http://schemas.openxmlformats.org/officeDocument/2006/relationships/hyperlink" Target="http://www.lohikaarmeenluola.fi/SRD_HTML/Olotilat/Olotilojen%20yhteenveto.php" TargetMode="External"/><Relationship Id="rId199" Type="http://schemas.openxmlformats.org/officeDocument/2006/relationships/hyperlink" Target="http://www.lohikaarmeenluola.fi/SRD_HTML/Taidot/Tiet&amp;auml;mys.php" TargetMode="External"/><Relationship Id="rId571" Type="http://schemas.openxmlformats.org/officeDocument/2006/relationships/hyperlink" Target="http://www.lohikaarmeenluola.fi/SRD_HTML/Valtit/Valtit.php" TargetMode="External"/><Relationship Id="rId627" Type="http://schemas.openxmlformats.org/officeDocument/2006/relationships/hyperlink" Target="http://www.lohikaarmeenluola.fi/SRD_HTML/Valtit/Valtit.php" TargetMode="External"/><Relationship Id="rId669" Type="http://schemas.openxmlformats.org/officeDocument/2006/relationships/hyperlink" Target="http://www.lohikaarmeenluola.fi/SRD_HTML/Valtit/Valtit.php" TargetMode="External"/><Relationship Id="rId19" Type="http://schemas.openxmlformats.org/officeDocument/2006/relationships/hyperlink" Target="http://www.lohikaarmeenluola.fi/SRD_HTML/Taistelu/Taistelumuuntimet.php" TargetMode="External"/><Relationship Id="rId224" Type="http://schemas.openxmlformats.org/officeDocument/2006/relationships/hyperlink" Target="http://www.lohikaarmeenluola.fi/SRD_HTML/Varusteet%20ja%20erikoisaineet/Haarniskat%20ja%20kilvet.php" TargetMode="External"/><Relationship Id="rId266" Type="http://schemas.openxmlformats.org/officeDocument/2006/relationships/hyperlink" Target="http://www.lohikaarmeenluola.fi/SRD_HTML/Varusteet%20ja%20erikoisaineet/Aseet.php" TargetMode="External"/><Relationship Id="rId431" Type="http://schemas.openxmlformats.org/officeDocument/2006/relationships/hyperlink" Target="http://www.lohikaarmeenluola.fi/SRD_HTML/Valtit/Valtit.php" TargetMode="External"/><Relationship Id="rId473" Type="http://schemas.openxmlformats.org/officeDocument/2006/relationships/hyperlink" Target="http://www.lohikaarmeenluola.fi/SRD_HTML/Valtit/Valtit.php" TargetMode="External"/><Relationship Id="rId529" Type="http://schemas.openxmlformats.org/officeDocument/2006/relationships/hyperlink" Target="http://www.lohikaarmeenluola.fi/SRD_HTML/Valtit/Valtit.php" TargetMode="External"/><Relationship Id="rId30" Type="http://schemas.openxmlformats.org/officeDocument/2006/relationships/hyperlink" Target="http://www.lohikaarmeenluola.fi/SRD_HTML/Taistelu/Taistelumuuntimet.php" TargetMode="External"/><Relationship Id="rId126" Type="http://schemas.openxmlformats.org/officeDocument/2006/relationships/hyperlink" Target="http://www.lohikaarmeenluola.fi/SRD_HTML/Loitsut/H&amp;auml;r&amp;auml;nvoima.php" TargetMode="External"/><Relationship Id="rId168" Type="http://schemas.openxmlformats.org/officeDocument/2006/relationships/hyperlink" Target="http://www.lohikaarmeenluola.fi/SRD_HTML/Taidot/Esiintyminen.php" TargetMode="External"/><Relationship Id="rId333" Type="http://schemas.openxmlformats.org/officeDocument/2006/relationships/hyperlink" Target="http://www.lohikaarmeenluola.fi/SRD_HTML/Varusteet%20ja%20erikoisaineet/Aseet.php" TargetMode="External"/><Relationship Id="rId540" Type="http://schemas.openxmlformats.org/officeDocument/2006/relationships/hyperlink" Target="http://www.lohikaarmeenluola.fi/SRD_HTML/Valtit/Valtit.php" TargetMode="External"/><Relationship Id="rId72" Type="http://schemas.openxmlformats.org/officeDocument/2006/relationships/hyperlink" Target="http://www.lohikaarmeenluola.fi/SRD_HTML/Valtit/Valtit.php" TargetMode="External"/><Relationship Id="rId375" Type="http://schemas.openxmlformats.org/officeDocument/2006/relationships/hyperlink" Target="http://www.lohikaarmeenluola.fi/SRD_HTML/Valtit/Valtit.php" TargetMode="External"/><Relationship Id="rId582" Type="http://schemas.openxmlformats.org/officeDocument/2006/relationships/hyperlink" Target="http://www.lohikaarmeenluola.fi/SRD_HTML/Valtit/Valtit.php" TargetMode="External"/><Relationship Id="rId638" Type="http://schemas.openxmlformats.org/officeDocument/2006/relationships/hyperlink" Target="http://www.lohikaarmeenluola.fi/SRD_HTML/Valtit/Valtit.php" TargetMode="External"/><Relationship Id="rId3" Type="http://schemas.openxmlformats.org/officeDocument/2006/relationships/hyperlink" Target="http://www.lohikaarmeenluola.fi/SRD_HTML/Taikuus/Loitsujen%20langetus.php" TargetMode="External"/><Relationship Id="rId235" Type="http://schemas.openxmlformats.org/officeDocument/2006/relationships/hyperlink" Target="http://www.lohikaarmeenluola.fi/SRD_HTML/Varusteet%20ja%20erikoisaineet/Aseet.php" TargetMode="External"/><Relationship Id="rId277" Type="http://schemas.openxmlformats.org/officeDocument/2006/relationships/hyperlink" Target="http://www.lohikaarmeenluola.fi/SRD_HTML/Hahmoluokat/Munkki.php" TargetMode="External"/><Relationship Id="rId400" Type="http://schemas.openxmlformats.org/officeDocument/2006/relationships/hyperlink" Target="http://www.lohikaarmeenluola.fi/SRD_HTML/Valtit/Valtit.php" TargetMode="External"/><Relationship Id="rId442" Type="http://schemas.openxmlformats.org/officeDocument/2006/relationships/hyperlink" Target="http://www.lohikaarmeenluola.fi/SRD_HTML/Valtit/Valtit.php" TargetMode="External"/><Relationship Id="rId484" Type="http://schemas.openxmlformats.org/officeDocument/2006/relationships/hyperlink" Target="http://www.lohikaarmeenluola.fi/SRD_HTML/Valtit/Valtit.php" TargetMode="External"/><Relationship Id="rId137" Type="http://schemas.openxmlformats.org/officeDocument/2006/relationships/hyperlink" Target="http://www.lohikaarmeenluola.fi/SRD_HTML/Loitsut/Maaginhaarniska.php" TargetMode="External"/><Relationship Id="rId302" Type="http://schemas.openxmlformats.org/officeDocument/2006/relationships/hyperlink" Target="http://www.lohikaarmeenluola.fi/SRD_HTML/Varusteet%20ja%20erikoisaineet/Aseet.php" TargetMode="External"/><Relationship Id="rId344" Type="http://schemas.openxmlformats.org/officeDocument/2006/relationships/hyperlink" Target="http://www.lohikaarmeenluola.fi/SRD_HTML/Varusteet%20ja%20erikoisaineet/Aseet.php" TargetMode="External"/><Relationship Id="rId41" Type="http://schemas.openxmlformats.org/officeDocument/2006/relationships/hyperlink" Target="http://www.lohikaarmeenluola.fi/SRD_HTML/Valtit/Valtit.php" TargetMode="External"/><Relationship Id="rId83" Type="http://schemas.openxmlformats.org/officeDocument/2006/relationships/hyperlink" Target="http://www.lohikaarmeenluola.fi/SRD_HTML/Valtit/Valtit.php" TargetMode="External"/><Relationship Id="rId179" Type="http://schemas.openxmlformats.org/officeDocument/2006/relationships/hyperlink" Target="http://www.lohikaarmeenluola.fi/SRD_HTML/Taidot/Keskittyminen.php" TargetMode="External"/><Relationship Id="rId386" Type="http://schemas.openxmlformats.org/officeDocument/2006/relationships/hyperlink" Target="http://www.lohikaarmeenluola.fi/SRD_HTML/Valtit/Valtit.php" TargetMode="External"/><Relationship Id="rId551" Type="http://schemas.openxmlformats.org/officeDocument/2006/relationships/hyperlink" Target="http://www.lohikaarmeenluola.fi/SRD_HTML/Valtit/Valtit.php" TargetMode="External"/><Relationship Id="rId593" Type="http://schemas.openxmlformats.org/officeDocument/2006/relationships/hyperlink" Target="http://www.lohikaarmeenluola.fi/SRD_HTML/Valtit/Valtit.php" TargetMode="External"/><Relationship Id="rId607" Type="http://schemas.openxmlformats.org/officeDocument/2006/relationships/hyperlink" Target="http://www.lohikaarmeenluola.fi/SRD_HTML/Valtit/Valtit.php" TargetMode="External"/><Relationship Id="rId649" Type="http://schemas.openxmlformats.org/officeDocument/2006/relationships/hyperlink" Target="http://www.lohikaarmeenluola.fi/SRD_HTML/Valtit/Valtit.php" TargetMode="External"/><Relationship Id="rId190" Type="http://schemas.openxmlformats.org/officeDocument/2006/relationships/hyperlink" Target="http://www.lohikaarmeenluola.fi/SRD_HTML/Taidot/Loitsutuntemus.php" TargetMode="External"/><Relationship Id="rId204" Type="http://schemas.openxmlformats.org/officeDocument/2006/relationships/hyperlink" Target="http://www.lohikaarmeenluola.fi/SRD_HTML/Taidot/Tiet&amp;auml;mys.php" TargetMode="External"/><Relationship Id="rId246" Type="http://schemas.openxmlformats.org/officeDocument/2006/relationships/hyperlink" Target="http://www.lohikaarmeenluola.fi/SRD_HTML/Varusteet%20ja%20erikoisaineet/Aseet.php" TargetMode="External"/><Relationship Id="rId288" Type="http://schemas.openxmlformats.org/officeDocument/2006/relationships/hyperlink" Target="http://www.lohikaarmeenluola.fi/SRD_HTML/Varusteet%20ja%20erikoisaineet/Aseet.php" TargetMode="External"/><Relationship Id="rId411" Type="http://schemas.openxmlformats.org/officeDocument/2006/relationships/hyperlink" Target="http://www.lohikaarmeenluola.fi/SRD_HTML/Valtit/Valtit.php" TargetMode="External"/><Relationship Id="rId453" Type="http://schemas.openxmlformats.org/officeDocument/2006/relationships/hyperlink" Target="http://www.lohikaarmeenluola.fi/SRD_HTML/Valtit/Valtit.php" TargetMode="External"/><Relationship Id="rId509" Type="http://schemas.openxmlformats.org/officeDocument/2006/relationships/hyperlink" Target="http://www.lohikaarmeenluola.fi/SRD_HTML/Valtit/Valtit.php" TargetMode="External"/><Relationship Id="rId660" Type="http://schemas.openxmlformats.org/officeDocument/2006/relationships/hyperlink" Target="http://www.lohikaarmeenluola.fi/SRD_HTML/Valtit/Valtit.php" TargetMode="External"/><Relationship Id="rId106" Type="http://schemas.openxmlformats.org/officeDocument/2006/relationships/hyperlink" Target="http://www.lohikaarmeenluola.fi/SRD_HTML/Taistelu/Vammat%20ja%20kuolema.php" TargetMode="External"/><Relationship Id="rId313" Type="http://schemas.openxmlformats.org/officeDocument/2006/relationships/hyperlink" Target="http://www.lohikaarmeenluola.fi/SRD_HTML/Varusteet%20ja%20erikoisaineet/Aseet.php" TargetMode="External"/><Relationship Id="rId495" Type="http://schemas.openxmlformats.org/officeDocument/2006/relationships/hyperlink" Target="http://www.lohikaarmeenluola.fi/SRD_HTML/Valtit/Valtit.php" TargetMode="External"/><Relationship Id="rId10" Type="http://schemas.openxmlformats.org/officeDocument/2006/relationships/hyperlink" Target="http://www.lohikaarmeenluola.fi/SRD_HTML/S&amp;auml;&amp;auml;nt&amp;ouml;jen%20perusteet/S&amp;auml;&amp;auml;nt&amp;ouml;jen%20perusteet.php" TargetMode="External"/><Relationship Id="rId52" Type="http://schemas.openxmlformats.org/officeDocument/2006/relationships/hyperlink" Target="http://www.lohikaarmeenluola.fi/SRD_HTML/Taistelu/Taistelumuuntimet.php" TargetMode="External"/><Relationship Id="rId94" Type="http://schemas.openxmlformats.org/officeDocument/2006/relationships/hyperlink" Target="http://www.lohikaarmeenluola.fi/SRD_HTML/Valtit/Valtit.php" TargetMode="External"/><Relationship Id="rId148" Type="http://schemas.openxmlformats.org/officeDocument/2006/relationships/hyperlink" Target="http://www.lohikaarmeenluola.fi/SRD_HTML/Loitsut/Soturius.php" TargetMode="External"/><Relationship Id="rId355" Type="http://schemas.openxmlformats.org/officeDocument/2006/relationships/hyperlink" Target="http://www.lohikaarmeenluola.fi/SRD_HTML/Valtit/Valtit.php" TargetMode="External"/><Relationship Id="rId397" Type="http://schemas.openxmlformats.org/officeDocument/2006/relationships/hyperlink" Target="http://www.lohikaarmeenluola.fi/SRD_HTML/Valtit/Valtit.php" TargetMode="External"/><Relationship Id="rId520" Type="http://schemas.openxmlformats.org/officeDocument/2006/relationships/hyperlink" Target="http://www.lohikaarmeenluola.fi/SRD_HTML/Valtit/Valtit.php" TargetMode="External"/><Relationship Id="rId562" Type="http://schemas.openxmlformats.org/officeDocument/2006/relationships/hyperlink" Target="http://www.lohikaarmeenluola.fi/SRD_HTML/Valtit/Valtit.php" TargetMode="External"/><Relationship Id="rId618" Type="http://schemas.openxmlformats.org/officeDocument/2006/relationships/hyperlink" Target="http://www.lohikaarmeenluola.fi/SRD_HTML/Valtit/Valtit.php" TargetMode="External"/><Relationship Id="rId215" Type="http://schemas.openxmlformats.org/officeDocument/2006/relationships/hyperlink" Target="http://www.lohikaarmeenluola.fi/SRD_HTML/Taistelu/Erikoishy&amp;ouml;kk&amp;auml;ykset.php" TargetMode="External"/><Relationship Id="rId257" Type="http://schemas.openxmlformats.org/officeDocument/2006/relationships/hyperlink" Target="http://www.lohikaarmeenluola.fi/SRD_HTML/Varusteet%20ja%20erikoisaineet/Aseet.php" TargetMode="External"/><Relationship Id="rId422" Type="http://schemas.openxmlformats.org/officeDocument/2006/relationships/hyperlink" Target="http://www.lohikaarmeenluola.fi/SRD_HTML/Valtit/Valtit.php" TargetMode="External"/><Relationship Id="rId464" Type="http://schemas.openxmlformats.org/officeDocument/2006/relationships/hyperlink" Target="http://www.lohikaarmeenluola.fi/SRD_HTML/Valtit/Valtit.php" TargetMode="External"/><Relationship Id="rId299" Type="http://schemas.openxmlformats.org/officeDocument/2006/relationships/hyperlink" Target="http://www.lohikaarmeenluola.fi/SRD_HTML/Varusteet%20ja%20erikoisaineet/Aseet.php" TargetMode="External"/><Relationship Id="rId63" Type="http://schemas.openxmlformats.org/officeDocument/2006/relationships/hyperlink" Target="http://www.lohikaarmeenluola.fi/SRD_HTML/Olotilat/Olotilojen%20yhteenveto.php" TargetMode="External"/><Relationship Id="rId159" Type="http://schemas.openxmlformats.org/officeDocument/2006/relationships/hyperlink" Target="http://www.lohikaarmeenluola.fi/SRD_HTML/Taidot/Ammatti.php" TargetMode="External"/><Relationship Id="rId366" Type="http://schemas.openxmlformats.org/officeDocument/2006/relationships/hyperlink" Target="http://www.lohikaarmeenluola.fi/SRD_HTML/Valtit/Valtit.php" TargetMode="External"/><Relationship Id="rId573" Type="http://schemas.openxmlformats.org/officeDocument/2006/relationships/hyperlink" Target="http://www.lohikaarmeenluola.fi/SRD_HTML/Valtit/Valtit.php" TargetMode="External"/><Relationship Id="rId226" Type="http://schemas.openxmlformats.org/officeDocument/2006/relationships/hyperlink" Target="http://www.lohikaarmeenluola.fi/SRD_HTML/Varusteet%20ja%20erikoisaineet/Aseet.php" TargetMode="External"/><Relationship Id="rId433" Type="http://schemas.openxmlformats.org/officeDocument/2006/relationships/hyperlink" Target="http://www.lohikaarmeenluola.fi/SRD_HTML/Valtit/Valtit.php" TargetMode="External"/><Relationship Id="rId640" Type="http://schemas.openxmlformats.org/officeDocument/2006/relationships/hyperlink" Target="http://www.lohikaarmeenluola.fi/SRD_HTML/Valtit/Valtit.php" TargetMode="External"/><Relationship Id="rId74" Type="http://schemas.openxmlformats.org/officeDocument/2006/relationships/hyperlink" Target="http://www.lohikaarmeenluola.fi/SRD_HTML/Valtit/Valtit.php" TargetMode="External"/><Relationship Id="rId377" Type="http://schemas.openxmlformats.org/officeDocument/2006/relationships/hyperlink" Target="http://www.lohikaarmeenluola.fi/SRD_HTML/Valtit/Valtit.php" TargetMode="External"/><Relationship Id="rId500" Type="http://schemas.openxmlformats.org/officeDocument/2006/relationships/hyperlink" Target="http://www.lohikaarmeenluola.fi/SRD_HTML/Valtit/Valtit.php" TargetMode="External"/><Relationship Id="rId584" Type="http://schemas.openxmlformats.org/officeDocument/2006/relationships/hyperlink" Target="http://www.lohikaarmeenluola.fi/SRD_HTML/Valtit/Valtit.php" TargetMode="External"/><Relationship Id="rId5" Type="http://schemas.openxmlformats.org/officeDocument/2006/relationships/hyperlink" Target="http://www.lohikaarmeenluola.fi/SRD_HTML/Taistelu/Erikoishy&amp;ouml;kk&amp;auml;ykset.php" TargetMode="External"/><Relationship Id="rId237" Type="http://schemas.openxmlformats.org/officeDocument/2006/relationships/hyperlink" Target="http://www.lohikaarmeenluola.fi/SRD_HTML/Varusteet%20ja%20erikoisaineet/Aseet.php" TargetMode="External"/><Relationship Id="rId444" Type="http://schemas.openxmlformats.org/officeDocument/2006/relationships/hyperlink" Target="http://www.lohikaarmeenluola.fi/SRD_HTML/Valtit/Valtit.php" TargetMode="External"/><Relationship Id="rId651" Type="http://schemas.openxmlformats.org/officeDocument/2006/relationships/hyperlink" Target="http://www.lohikaarmeenluola.fi/SRD_HTML/Valtit/Valtit.php" TargetMode="External"/><Relationship Id="rId290" Type="http://schemas.openxmlformats.org/officeDocument/2006/relationships/hyperlink" Target="http://www.lohikaarmeenluola.fi/SRD_HTML/Varusteet%20ja%20erikoisaineet/Aseet.php" TargetMode="External"/><Relationship Id="rId304" Type="http://schemas.openxmlformats.org/officeDocument/2006/relationships/hyperlink" Target="http://www.lohikaarmeenluola.fi/SRD_HTML/Varusteet%20ja%20erikoisaineet/Aseet.php" TargetMode="External"/><Relationship Id="rId388" Type="http://schemas.openxmlformats.org/officeDocument/2006/relationships/hyperlink" Target="http://www.lohikaarmeenluola.fi/SRD_HTML/Valtit/Valtit.php" TargetMode="External"/><Relationship Id="rId511" Type="http://schemas.openxmlformats.org/officeDocument/2006/relationships/hyperlink" Target="http://www.lohikaarmeenluola.fi/SRD_HTML/Valtit/Valtit.php" TargetMode="External"/><Relationship Id="rId609" Type="http://schemas.openxmlformats.org/officeDocument/2006/relationships/hyperlink" Target="http://www.lohikaarmeenluola.fi/SRD_HTML/Valtit/Valtit.php" TargetMode="External"/><Relationship Id="rId85" Type="http://schemas.openxmlformats.org/officeDocument/2006/relationships/hyperlink" Target="http://www.lohikaarmeenluola.fi/SRD_HTML/Valtit/Valtit.php" TargetMode="External"/><Relationship Id="rId150" Type="http://schemas.openxmlformats.org/officeDocument/2006/relationships/hyperlink" Target="http://www.lohikaarmeenluola.fi/SRD_HTML/Loitsut/Taikasotisopa.php" TargetMode="External"/><Relationship Id="rId595" Type="http://schemas.openxmlformats.org/officeDocument/2006/relationships/hyperlink" Target="http://www.lohikaarmeenluola.fi/SRD_HTML/Valtit/Valtit.php" TargetMode="External"/><Relationship Id="rId248" Type="http://schemas.openxmlformats.org/officeDocument/2006/relationships/hyperlink" Target="http://www.lohikaarmeenluola.fi/SRD_HTML/Varusteet%20ja%20erikoisaineet/Aseet.php" TargetMode="External"/><Relationship Id="rId455" Type="http://schemas.openxmlformats.org/officeDocument/2006/relationships/hyperlink" Target="http://www.lohikaarmeenluola.fi/SRD_HTML/Valtit/Valtit.php" TargetMode="External"/><Relationship Id="rId662" Type="http://schemas.openxmlformats.org/officeDocument/2006/relationships/hyperlink" Target="http://www.lohikaarmeenluola.fi/SRD_HTML/Valtit/Valtit.php" TargetMode="External"/><Relationship Id="rId12" Type="http://schemas.openxmlformats.org/officeDocument/2006/relationships/hyperlink" Target="http://www.lohikaarmeenluola.fi/SRD_HTML/S&amp;auml;&amp;auml;nt&amp;ouml;jen%20perusteet/S&amp;auml;&amp;auml;nt&amp;ouml;jen%20perusteet.php" TargetMode="External"/><Relationship Id="rId108" Type="http://schemas.openxmlformats.org/officeDocument/2006/relationships/hyperlink" Target="http://www.lohikaarmeenluola.fi/SRD_HTML/Erikoiskyvyt/Erikoiskyvyt.php" TargetMode="External"/><Relationship Id="rId315" Type="http://schemas.openxmlformats.org/officeDocument/2006/relationships/hyperlink" Target="http://www.lohikaarmeenluola.fi/SRD_HTML/Varusteet%20ja%20erikoisaineet/Aseet.php" TargetMode="External"/><Relationship Id="rId522" Type="http://schemas.openxmlformats.org/officeDocument/2006/relationships/hyperlink" Target="http://www.lohikaarmeenluola.fi/SRD_HTML/Valtit/Valtit.php" TargetMode="External"/><Relationship Id="rId96" Type="http://schemas.openxmlformats.org/officeDocument/2006/relationships/hyperlink" Target="http://www.lohikaarmeenluola.fi/SRD_HTML/Valtit/Valtit.php" TargetMode="External"/><Relationship Id="rId161" Type="http://schemas.openxmlformats.org/officeDocument/2006/relationships/hyperlink" Target="http://www.lohikaarmeenluola.fi/SRD_HTML/Taidot/Arvon%20arviointi.php" TargetMode="External"/><Relationship Id="rId399" Type="http://schemas.openxmlformats.org/officeDocument/2006/relationships/hyperlink" Target="http://www.lohikaarmeenluola.fi/SRD_HTML/Valtit/Valtit.php" TargetMode="External"/><Relationship Id="rId259" Type="http://schemas.openxmlformats.org/officeDocument/2006/relationships/hyperlink" Target="http://www.lohikaarmeenluola.fi/SRD_HTML/Varusteet%20ja%20erikoisaineet/Aseet.php" TargetMode="External"/><Relationship Id="rId466" Type="http://schemas.openxmlformats.org/officeDocument/2006/relationships/hyperlink" Target="http://www.lohikaarmeenluola.fi/SRD_HTML/Valtit/Valtit.php" TargetMode="External"/><Relationship Id="rId673" Type="http://schemas.openxmlformats.org/officeDocument/2006/relationships/hyperlink" Target="http://www.lohikaarmeenluola.fi/SRD_HTML/Loitsut/Taikatorahammas,%20v&amp;auml;kev&amp;auml;.php" TargetMode="External"/><Relationship Id="rId23" Type="http://schemas.openxmlformats.org/officeDocument/2006/relationships/hyperlink" Target="http://www.lohikaarmeenluola.fi/SRD_HTML/S&amp;auml;&amp;auml;nt&amp;ouml;jen%20perusteet/S&amp;auml;&amp;auml;nt&amp;ouml;jen%20perusteet.php" TargetMode="External"/><Relationship Id="rId119" Type="http://schemas.openxmlformats.org/officeDocument/2006/relationships/hyperlink" Target="http://www.lohikaarmeenluola.fi/SRD_HTML/Loitsut/Druidinsauva.php" TargetMode="External"/><Relationship Id="rId326" Type="http://schemas.openxmlformats.org/officeDocument/2006/relationships/hyperlink" Target="http://www.lohikaarmeenluola.fi/SRD_HTML/Varusteet%20ja%20erikoisaineet/Aseet.php" TargetMode="External"/><Relationship Id="rId533" Type="http://schemas.openxmlformats.org/officeDocument/2006/relationships/hyperlink" Target="http://www.lohikaarmeenluola.fi/SRD_HTML/Valtit/Valtit.php" TargetMode="External"/><Relationship Id="rId172" Type="http://schemas.openxmlformats.org/officeDocument/2006/relationships/hyperlink" Target="http://www.lohikaarmeenluola.fi/SRD_HTML/Taidot/Esiintyminen.php" TargetMode="External"/><Relationship Id="rId477" Type="http://schemas.openxmlformats.org/officeDocument/2006/relationships/hyperlink" Target="http://www.lohikaarmeenluola.fi/SRD_HTML/Valtit/Valtit.php" TargetMode="External"/><Relationship Id="rId600" Type="http://schemas.openxmlformats.org/officeDocument/2006/relationships/hyperlink" Target="http://www.lohikaarmeenluola.fi/SRD_HTML/Valtit/Valtit.php" TargetMode="External"/><Relationship Id="rId337" Type="http://schemas.openxmlformats.org/officeDocument/2006/relationships/hyperlink" Target="http://www.lohikaarmeenluola.fi/SRD_HTML/Varusteet%20ja%20erikoisaineet/Aseet.php" TargetMode="External"/><Relationship Id="rId34" Type="http://schemas.openxmlformats.org/officeDocument/2006/relationships/hyperlink" Target="http://www.lohikaarmeenluola.fi/SRD_HTML/S&amp;auml;&amp;auml;nt&amp;ouml;jen%20perusteet/S&amp;auml;&amp;auml;nt&amp;ouml;jen%20perusteet.php" TargetMode="External"/><Relationship Id="rId544" Type="http://schemas.openxmlformats.org/officeDocument/2006/relationships/hyperlink" Target="http://www.lohikaarmeenluola.fi/SRD_HTML/Valtit/Valtit.php" TargetMode="External"/><Relationship Id="rId183" Type="http://schemas.openxmlformats.org/officeDocument/2006/relationships/hyperlink" Target="http://www.lohikaarmeenluola.fi/SRD_HTML/Taidot/Kuuntelu.php" TargetMode="External"/><Relationship Id="rId390" Type="http://schemas.openxmlformats.org/officeDocument/2006/relationships/hyperlink" Target="http://www.lohikaarmeenluola.fi/SRD_HTML/Valtit/Valtit.php" TargetMode="External"/><Relationship Id="rId404" Type="http://schemas.openxmlformats.org/officeDocument/2006/relationships/hyperlink" Target="http://www.lohikaarmeenluola.fi/SRD_HTML/Valtit/Valtit.php" TargetMode="External"/><Relationship Id="rId611" Type="http://schemas.openxmlformats.org/officeDocument/2006/relationships/hyperlink" Target="http://www.lohikaarmeenluola.fi/SRD_HTML/Valtit/Valtit.php" TargetMode="External"/><Relationship Id="rId250" Type="http://schemas.openxmlformats.org/officeDocument/2006/relationships/hyperlink" Target="http://www.lohikaarmeenluola.fi/SRD_HTML/Varusteet%20ja%20erikoisaineet/Aseet.php" TargetMode="External"/><Relationship Id="rId488" Type="http://schemas.openxmlformats.org/officeDocument/2006/relationships/hyperlink" Target="http://www.lohikaarmeenluola.fi/SRD_HTML/Valtit/Valtit.php" TargetMode="External"/><Relationship Id="rId45" Type="http://schemas.openxmlformats.org/officeDocument/2006/relationships/hyperlink" Target="http://www.lohikaarmeenluola.fi/SRD_HTML/Taistelu/Erikoishy&amp;ouml;kk&amp;auml;ykset.php" TargetMode="External"/><Relationship Id="rId110" Type="http://schemas.openxmlformats.org/officeDocument/2006/relationships/hyperlink" Target="http://www.lohikaarmeenluola.fi/SRD_HTML/Taistelu/Vammat%20ja%20kuolema.php" TargetMode="External"/><Relationship Id="rId348" Type="http://schemas.openxmlformats.org/officeDocument/2006/relationships/hyperlink" Target="http://www.lohikaarmeenluola.fi/SRD_HTML/Varusteet%20ja%20erikoisaineet/Aseet.php" TargetMode="External"/><Relationship Id="rId555" Type="http://schemas.openxmlformats.org/officeDocument/2006/relationships/hyperlink" Target="http://www.lohikaarmeenluola.fi/SRD_HTML/Valtit/Valtit.php" TargetMode="External"/><Relationship Id="rId194" Type="http://schemas.openxmlformats.org/officeDocument/2006/relationships/hyperlink" Target="http://www.lohikaarmeenluola.fi/SRD_HTML/Taidot/" TargetMode="External"/><Relationship Id="rId208" Type="http://schemas.openxmlformats.org/officeDocument/2006/relationships/hyperlink" Target="http://www.lohikaarmeenluola.fi/SRD_HTML/Taidot/Tiet&amp;auml;mys.php" TargetMode="External"/><Relationship Id="rId415" Type="http://schemas.openxmlformats.org/officeDocument/2006/relationships/hyperlink" Target="http://www.lohikaarmeenluola.fi/SRD_HTML/Valtit/Valtit.php" TargetMode="External"/><Relationship Id="rId622" Type="http://schemas.openxmlformats.org/officeDocument/2006/relationships/hyperlink" Target="http://www.lohikaarmeenluola.fi/SRD_HTML/Valtit/Valtit.php" TargetMode="External"/><Relationship Id="rId261" Type="http://schemas.openxmlformats.org/officeDocument/2006/relationships/hyperlink" Target="http://www.lohikaarmeenluola.fi/SRD_HTML/Varusteet%20ja%20erikoisaineet/Aseet.php" TargetMode="External"/><Relationship Id="rId499" Type="http://schemas.openxmlformats.org/officeDocument/2006/relationships/hyperlink" Target="http://www.lohikaarmeenluola.fi/SRD_HTML/Valtit/Valtit.php" TargetMode="External"/><Relationship Id="rId56" Type="http://schemas.openxmlformats.org/officeDocument/2006/relationships/hyperlink" Target="http://www.lohikaarmeenluola.fi/SRD_HTML/Olotilat/Olotilojen%20yhteenveto.php" TargetMode="External"/><Relationship Id="rId359" Type="http://schemas.openxmlformats.org/officeDocument/2006/relationships/hyperlink" Target="http://www.lohikaarmeenluola.fi/SRD_HTML/Valtit/Valtit.php" TargetMode="External"/><Relationship Id="rId566" Type="http://schemas.openxmlformats.org/officeDocument/2006/relationships/hyperlink" Target="http://www.lohikaarmeenluola.fi/SRD_HTML/Valtit/Valtit.php" TargetMode="External"/><Relationship Id="rId121" Type="http://schemas.openxmlformats.org/officeDocument/2006/relationships/hyperlink" Target="http://www.lohikaarmeenluola.fi/SRD_HTML/Loitsut/El&amp;auml;inten%20suurennus.php" TargetMode="External"/><Relationship Id="rId219" Type="http://schemas.openxmlformats.org/officeDocument/2006/relationships/hyperlink" Target="http://www.lohikaarmeenluola.fi/SRD_HTML/Varusteet%20ja%20erikoisaineet/Aseet.php" TargetMode="External"/><Relationship Id="rId426" Type="http://schemas.openxmlformats.org/officeDocument/2006/relationships/hyperlink" Target="http://www.lohikaarmeenluola.fi/SRD_HTML/Valtit/Valtit.php" TargetMode="External"/><Relationship Id="rId633" Type="http://schemas.openxmlformats.org/officeDocument/2006/relationships/hyperlink" Target="http://www.lohikaarmeenluola.fi/SRD_HTML/Valtit/Valtit.php" TargetMode="External"/><Relationship Id="rId67" Type="http://schemas.openxmlformats.org/officeDocument/2006/relationships/hyperlink" Target="http://www.lohikaarmeenluola.fi/SRD_HTML/Taistelu/Erikoishy&amp;ouml;kk&amp;auml;ykset.php" TargetMode="External"/><Relationship Id="rId272" Type="http://schemas.openxmlformats.org/officeDocument/2006/relationships/hyperlink" Target="http://www.lohikaarmeenluola.fi/SRD_HTML/Varusteet%20ja%20erikoisaineet/Aseet.php" TargetMode="External"/><Relationship Id="rId577" Type="http://schemas.openxmlformats.org/officeDocument/2006/relationships/hyperlink" Target="http://www.lohikaarmeenluola.fi/SRD_HTML/Valtit/Valtit.php" TargetMode="External"/><Relationship Id="rId132" Type="http://schemas.openxmlformats.org/officeDocument/2006/relationships/hyperlink" Target="http://www.lohikaarmeenluola.fi/SRD_HTML/Loitsut/Kiro.php" TargetMode="External"/><Relationship Id="rId437" Type="http://schemas.openxmlformats.org/officeDocument/2006/relationships/hyperlink" Target="http://www.lohikaarmeenluola.fi/SRD_HTML/Valtit/Valtit.php" TargetMode="External"/><Relationship Id="rId644" Type="http://schemas.openxmlformats.org/officeDocument/2006/relationships/hyperlink" Target="http://www.lohikaarmeenluola.fi/SRD_HTML/Valtit/Valtit.php" TargetMode="External"/><Relationship Id="rId283" Type="http://schemas.openxmlformats.org/officeDocument/2006/relationships/hyperlink" Target="http://www.lohikaarmeenluola.fi/SRD_HTML/Varusteet%20ja%20erikoisaineet/Aseet.php" TargetMode="External"/><Relationship Id="rId490" Type="http://schemas.openxmlformats.org/officeDocument/2006/relationships/hyperlink" Target="http://www.lohikaarmeenluola.fi/SRD_HTML/Valtit/Valtit.php" TargetMode="External"/><Relationship Id="rId504" Type="http://schemas.openxmlformats.org/officeDocument/2006/relationships/hyperlink" Target="http://www.lohikaarmeenluola.fi/SRD_HTML/Valtit/Valtit.php" TargetMode="External"/><Relationship Id="rId78" Type="http://schemas.openxmlformats.org/officeDocument/2006/relationships/hyperlink" Target="http://www.lohikaarmeenluola.fi/SRD_HTML/Valtit/Valtit.php" TargetMode="External"/><Relationship Id="rId143" Type="http://schemas.openxmlformats.org/officeDocument/2006/relationships/hyperlink" Target="http://www.lohikaarmeenluola.fi/SRD_HTML/Loitsut/Rukous.php" TargetMode="External"/><Relationship Id="rId350" Type="http://schemas.openxmlformats.org/officeDocument/2006/relationships/hyperlink" Target="http://www.lohikaarmeenluola.fi/SRD_HTML/Valtit/Valtit.php" TargetMode="External"/><Relationship Id="rId588" Type="http://schemas.openxmlformats.org/officeDocument/2006/relationships/hyperlink" Target="http://www.lohikaarmeenluola.fi/SRD_HTML/Valtit/Valtit.php" TargetMode="External"/><Relationship Id="rId9" Type="http://schemas.openxmlformats.org/officeDocument/2006/relationships/hyperlink" Target="http://www.lohikaarmeenluola.fi/SRD_HTML/Erikoiskyvyt/Erikoiskyvyt.php" TargetMode="External"/><Relationship Id="rId210" Type="http://schemas.openxmlformats.org/officeDocument/2006/relationships/hyperlink" Target="http://www.lohikaarmeenluola.fi/SRD_HTML/Taidot/Tiirikointi.php" TargetMode="External"/><Relationship Id="rId448" Type="http://schemas.openxmlformats.org/officeDocument/2006/relationships/hyperlink" Target="http://www.lohikaarmeenluola.fi/SRD_HTML/Valtit/Valtit.php" TargetMode="External"/><Relationship Id="rId655" Type="http://schemas.openxmlformats.org/officeDocument/2006/relationships/hyperlink" Target="http://www.lohikaarmeenluola.fi/SRD_HTML/Valtit/Valtit.php" TargetMode="External"/><Relationship Id="rId294" Type="http://schemas.openxmlformats.org/officeDocument/2006/relationships/hyperlink" Target="http://www.lohikaarmeenluola.fi/SRD_HTML/Varusteet%20ja%20erikoisaineet/Aseet.php" TargetMode="External"/><Relationship Id="rId308" Type="http://schemas.openxmlformats.org/officeDocument/2006/relationships/hyperlink" Target="http://www.lohikaarmeenluola.fi/SRD_HTML/Varusteet%20ja%20erikoisaineet/Aseet.php" TargetMode="External"/><Relationship Id="rId515" Type="http://schemas.openxmlformats.org/officeDocument/2006/relationships/hyperlink" Target="http://www.lohikaarmeenluola.fi/SRD_HTML/Valtit/Valtit.php" TargetMode="External"/><Relationship Id="rId89" Type="http://schemas.openxmlformats.org/officeDocument/2006/relationships/hyperlink" Target="http://www.lohikaarmeenluola.fi/SRD_HTML/Valtit/Valtit.php" TargetMode="External"/><Relationship Id="rId154" Type="http://schemas.openxmlformats.org/officeDocument/2006/relationships/hyperlink" Target="http://www.lohikaarmeenluola.fi/SRD_HTML/Kantokyky%20ja%20liikkuminen/Liikkuminen.php" TargetMode="External"/><Relationship Id="rId361" Type="http://schemas.openxmlformats.org/officeDocument/2006/relationships/hyperlink" Target="http://www.lohikaarmeenluola.fi/SRD_HTML/Valtit/Valtit.php" TargetMode="External"/><Relationship Id="rId599" Type="http://schemas.openxmlformats.org/officeDocument/2006/relationships/hyperlink" Target="http://www.lohikaarmeenluola.fi/SRD_HTML/Valtit/Valtit.php" TargetMode="External"/><Relationship Id="rId459" Type="http://schemas.openxmlformats.org/officeDocument/2006/relationships/hyperlink" Target="http://www.lohikaarmeenluola.fi/SRD_HTML/Valtit/Valtit.php" TargetMode="External"/><Relationship Id="rId666" Type="http://schemas.openxmlformats.org/officeDocument/2006/relationships/hyperlink" Target="http://www.lohikaarmeenluola.fi/SRD_HTML/Valtit/Valtit.php" TargetMode="External"/><Relationship Id="rId16" Type="http://schemas.openxmlformats.org/officeDocument/2006/relationships/hyperlink" Target="http://www.lohikaarmeenluola.fi/SRD_HTML/Taistelu/Taistelun%20k&amp;auml;sitteet.php" TargetMode="External"/><Relationship Id="rId221" Type="http://schemas.openxmlformats.org/officeDocument/2006/relationships/hyperlink" Target="http://www.lohikaarmeenluola.fi/SRD_HTML/Varusteet%20ja%20erikoisaineet/Aseet.php" TargetMode="External"/><Relationship Id="rId319" Type="http://schemas.openxmlformats.org/officeDocument/2006/relationships/hyperlink" Target="http://www.lohikaarmeenluola.fi/SRD_HTML/Varusteet%20ja%20erikoisaineet/Aseet.php" TargetMode="External"/><Relationship Id="rId526" Type="http://schemas.openxmlformats.org/officeDocument/2006/relationships/hyperlink" Target="http://www.lohikaarmeenluola.fi/SRD_HTML/Valtit/Valtit.php" TargetMode="External"/><Relationship Id="rId165" Type="http://schemas.openxmlformats.org/officeDocument/2006/relationships/hyperlink" Target="http://www.lohikaarmeenluola.fi/SRD_HTML/Taidot/Esiintyminen.php" TargetMode="External"/><Relationship Id="rId372" Type="http://schemas.openxmlformats.org/officeDocument/2006/relationships/hyperlink" Target="http://www.lohikaarmeenluola.fi/SRD_HTML/Valtit/Valtit.php" TargetMode="External"/><Relationship Id="rId232" Type="http://schemas.openxmlformats.org/officeDocument/2006/relationships/hyperlink" Target="http://www.lohikaarmeenluola.fi/SRD_HTML/Varusteet%20ja%20erikoisaineet/Haarniskat%20ja%20kilvet.php" TargetMode="External"/><Relationship Id="rId27" Type="http://schemas.openxmlformats.org/officeDocument/2006/relationships/hyperlink" Target="http://www.lohikaarmeenluola.fi/SRD_HTML/Olotilat/Olotilojen%20yhteenveto.php" TargetMode="External"/><Relationship Id="rId537" Type="http://schemas.openxmlformats.org/officeDocument/2006/relationships/hyperlink" Target="http://www.lohikaarmeenluola.fi/SRD_HTML/Valtit/Valtit.php" TargetMode="External"/><Relationship Id="rId80" Type="http://schemas.openxmlformats.org/officeDocument/2006/relationships/hyperlink" Target="http://www.lohikaarmeenluola.fi/SRD_HTML/Valtit/Valtit.php" TargetMode="External"/><Relationship Id="rId176" Type="http://schemas.openxmlformats.org/officeDocument/2006/relationships/hyperlink" Target="http://www.lohikaarmeenluola.fi/SRD_HTML/Taidot/Havainnointi.php" TargetMode="External"/><Relationship Id="rId383" Type="http://schemas.openxmlformats.org/officeDocument/2006/relationships/hyperlink" Target="http://www.lohikaarmeenluola.fi/SRD_HTML/Valtit/Valtit.php" TargetMode="External"/><Relationship Id="rId590" Type="http://schemas.openxmlformats.org/officeDocument/2006/relationships/hyperlink" Target="http://www.lohikaarmeenluola.fi/SRD_HTML/Valtit/Valtit.php" TargetMode="External"/><Relationship Id="rId604" Type="http://schemas.openxmlformats.org/officeDocument/2006/relationships/hyperlink" Target="http://www.lohikaarmeenluola.fi/SRD_HTML/Valtit/Valtit.ph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846"/>
  <sheetViews>
    <sheetView tabSelected="1" zoomScaleNormal="100" workbookViewId="0"/>
  </sheetViews>
  <sheetFormatPr baseColWidth="10" defaultRowHeight="16" x14ac:dyDescent="0.2"/>
  <cols>
    <col min="1" max="1" width="36.6640625" style="15" customWidth="1"/>
    <col min="2" max="2" width="13" style="12" customWidth="1"/>
    <col min="3" max="3" width="12.83203125" style="12" customWidth="1"/>
    <col min="4" max="4" width="14.33203125" style="12" customWidth="1"/>
    <col min="5" max="5" width="13.6640625" style="15" customWidth="1"/>
    <col min="6" max="6" width="14" style="12" customWidth="1"/>
    <col min="7" max="9" width="13" style="12" customWidth="1"/>
    <col min="10" max="10" width="11.83203125" style="15" customWidth="1"/>
    <col min="11" max="11" width="12" style="15" customWidth="1"/>
    <col min="12" max="12" width="14.5" style="15" customWidth="1"/>
    <col min="13" max="13" width="12.5" style="15" customWidth="1"/>
    <col min="14" max="14" width="10.33203125" style="12" customWidth="1"/>
    <col min="15" max="15" width="10.83203125" style="15"/>
    <col min="16" max="16" width="36" style="15" customWidth="1"/>
    <col min="17" max="17" width="11.1640625" style="15" bestFit="1" customWidth="1"/>
    <col min="18" max="18" width="10.83203125" style="15" customWidth="1"/>
    <col min="19" max="19" width="11.83203125" style="15" customWidth="1"/>
    <col min="20" max="20" width="10.83203125" style="15"/>
    <col min="21" max="21" width="12.5" style="15" customWidth="1"/>
    <col min="22" max="24" width="12.33203125" style="15" customWidth="1"/>
    <col min="25" max="25" width="12.1640625" style="15" customWidth="1"/>
    <col min="26" max="27" width="10.83203125" style="15"/>
    <col min="28" max="28" width="34" style="45" customWidth="1"/>
    <col min="29" max="29" width="12.33203125" style="45" bestFit="1" customWidth="1"/>
    <col min="30" max="38" width="10.83203125" style="45"/>
    <col min="39" max="16384" width="10.83203125" style="15"/>
  </cols>
  <sheetData>
    <row r="1" spans="1:15" s="15" customFormat="1" x14ac:dyDescent="0.2">
      <c r="A1" s="10" t="s">
        <v>10</v>
      </c>
      <c r="B1" s="11" t="s">
        <v>42</v>
      </c>
      <c r="C1" s="11" t="s">
        <v>43</v>
      </c>
      <c r="D1" s="12"/>
      <c r="E1" s="13" t="s">
        <v>44</v>
      </c>
      <c r="F1" s="11" t="s">
        <v>42</v>
      </c>
      <c r="G1" s="14" t="s">
        <v>107</v>
      </c>
      <c r="H1" s="11" t="s">
        <v>43</v>
      </c>
      <c r="I1" s="14" t="s">
        <v>107</v>
      </c>
      <c r="J1" s="11" t="s">
        <v>39</v>
      </c>
      <c r="K1" s="14" t="s">
        <v>40</v>
      </c>
      <c r="L1" s="14" t="s">
        <v>41</v>
      </c>
      <c r="M1" s="11" t="s">
        <v>16</v>
      </c>
      <c r="N1" s="12"/>
    </row>
    <row r="2" spans="1:15" s="15" customFormat="1" x14ac:dyDescent="0.2">
      <c r="A2" s="16" t="s">
        <v>371</v>
      </c>
      <c r="B2" s="17">
        <v>0</v>
      </c>
      <c r="C2" s="18">
        <f>B2-B10</f>
        <v>0</v>
      </c>
      <c r="D2" s="12"/>
      <c r="E2" s="16" t="s">
        <v>31</v>
      </c>
      <c r="F2" s="17">
        <v>10</v>
      </c>
      <c r="G2" s="19">
        <f t="shared" ref="G2:G4" si="0">IF(F2&lt;=0,-5,IF(F2=1,-5,IF(F2=2,-4,IF(F2=3,-4,IF(F2=4,-3,IF(F2=5,-3,IF(F2=6,-2,IF(F2=7,-2,IF(F2=8,-1,IF(F2=9,-1,IF(F2=10,0,IF(F2=11,0,IF(F2=12,1,IF(F2=13,1,IF(F2=14,2,IF(F2=15,2,IF(F2=16,3,IF(F2=17,3,IF(F2=18,4,IF(F2=19,4,IF(F2=20,5,IF(F2=21,5,IF(F2=22,6,IF(F2=23,6,IF(F2=24,7,IF(F2=25,7,IF(F2=26,8,IF(F2=27,8,IF(F2=28,9,IF(F2=29,9,IF(F2=30,10,IF(F2=31,10,IF(F2=32,11,IF(F2=33,11,IF(F2=34,12,IF(F2=35,12,IF(F2=36,13,IF(F2=37,13,IF(F2=38,14,IF(F2=39,14,IF(F2=40,15,IF(F2=41,15,IF(F22=42,16,IF(F2=43,16,IF(F2=44,17,IF(F2=45,17,IF(F2=46,18,IF(F2=47,18,IF(F2=48,19,IF(F2=49,19,IF(F2=50,20,IF(F2=51,20))))))))))))))))))))))))))))))))))))))))))))))))))))</f>
        <v>0</v>
      </c>
      <c r="H2" s="12">
        <f>IF(I79="x",0,F2-J2-K2-L2+IF(M93="x",2,0)+IF(M88="x",2,0)+IF(M92="x",4,0)-IF(I84="x",6)-IF(M92="x",)-IF(I92="x",2)-IF(M87="x",2)+IF(M80="x",4)+IF(M81="x",6)+IF(M79="x",8)+IF(M95="x",6)+IF(M114="x",4)+IF(C89="x",4)+M2)</f>
        <v>10</v>
      </c>
      <c r="I2" s="19">
        <f t="shared" ref="I2:I4" si="1">IF(H2&lt;=0,-5,IF(H2=1,-5,IF(H2=2,-4,IF(H2=3,-4,IF(H2=4,-3,IF(H2=5,-3,IF(H2=6,-2,IF(H2=7,-2,IF(H2=8,-1,IF(H2=9,-1,IF(H2=10,0,IF(H2=11,0,IF(H2=12,1,IF(H2=13,1,IF(H2=14,2,IF(H2=15,2,IF(H2=16,3,IF(H2=17,3,IF(H2=18,4,IF(H2=19,4,IF(H2=20,5,IF(H2=21,5,IF(H2=22,6,IF(H2=23,6,IF(H2=24,7,IF(H2=25,7,IF(H2=26,8,IF(H2=27,8,IF(H2=28,9,IF(H2=29,9,IF(H2=30,10,IF(H2=31,10,IF(H2=32,11,IF(H2=33,11,IF(H2=34,12,IF(H2=35,12,IF(H2=36,13,IF(H2=37,13,IF(H2=38,14,IF(H2=39,14,IF(H2=40,15,IF(H2=41,15,IF(H22=42,16,IF(H2=43,16,IF(H2=44,17,IF(H2=45,17,IF(H2=46,18,IF(H2=47,18,IF(H2=48,19,IF(H2=49,19,IF(H2=50,20,IF(H2=51,20))))))))))))))))))))))))))))))))))))))))))))))))))))</f>
        <v>0</v>
      </c>
      <c r="J2" s="17">
        <v>0</v>
      </c>
      <c r="K2" s="17">
        <v>0</v>
      </c>
      <c r="L2" s="17">
        <v>0</v>
      </c>
      <c r="M2" s="17">
        <v>0</v>
      </c>
      <c r="N2" s="12"/>
    </row>
    <row r="3" spans="1:15" s="15" customFormat="1" x14ac:dyDescent="0.2">
      <c r="A3" s="20" t="s">
        <v>0</v>
      </c>
      <c r="B3" s="17">
        <v>0</v>
      </c>
      <c r="C3" s="12">
        <f>IF(OR(M95="x",M114="x"),C2,B3)</f>
        <v>0</v>
      </c>
      <c r="D3" s="12"/>
      <c r="E3" s="16" t="s">
        <v>30</v>
      </c>
      <c r="F3" s="17">
        <v>10</v>
      </c>
      <c r="G3" s="19">
        <f t="shared" si="0"/>
        <v>0</v>
      </c>
      <c r="H3" s="12">
        <f>IF(OR(I87="x",I79="x"),0,F3-J3-K3-L3-IF(I91="x",4)-IF(I84="x",6)-IF(M93="x",2)-IF(M88="x",2,0)+IF(M100="x",4)-IF(I92="x",2)+IF(M87="x",2)+IF(M114="x",4)+M3)</f>
        <v>10</v>
      </c>
      <c r="I3" s="19">
        <f t="shared" si="1"/>
        <v>0</v>
      </c>
      <c r="J3" s="17">
        <v>0</v>
      </c>
      <c r="K3" s="17">
        <v>0</v>
      </c>
      <c r="L3" s="17">
        <v>0</v>
      </c>
      <c r="M3" s="17">
        <v>0</v>
      </c>
      <c r="N3" s="12"/>
    </row>
    <row r="4" spans="1:15" s="15" customFormat="1" x14ac:dyDescent="0.2">
      <c r="A4" s="16" t="s">
        <v>173</v>
      </c>
      <c r="B4" s="17">
        <v>0</v>
      </c>
      <c r="C4" s="18">
        <f>B4-B10</f>
        <v>0</v>
      </c>
      <c r="D4" s="12"/>
      <c r="E4" s="16" t="s">
        <v>32</v>
      </c>
      <c r="F4" s="17">
        <v>10</v>
      </c>
      <c r="G4" s="19">
        <f t="shared" si="0"/>
        <v>0</v>
      </c>
      <c r="H4" s="12">
        <f>F4-J4-K4-L4+IF(M96="x",4,0)+IF(M80="x",4)+IF(M81="x",6)+IF(M79="x",8)+IF(M114="x",4)+IF(C89="x",4)+M4</f>
        <v>10</v>
      </c>
      <c r="I4" s="19">
        <f t="shared" si="1"/>
        <v>0</v>
      </c>
      <c r="J4" s="17">
        <v>0</v>
      </c>
      <c r="K4" s="17">
        <v>0</v>
      </c>
      <c r="L4" s="17">
        <v>0</v>
      </c>
      <c r="M4" s="17">
        <v>0</v>
      </c>
      <c r="N4" s="12"/>
    </row>
    <row r="5" spans="1:15" s="15" customFormat="1" x14ac:dyDescent="0.2">
      <c r="A5" s="16" t="s">
        <v>23</v>
      </c>
      <c r="B5" s="18">
        <f>I3+IF(C103="x",4)-IF(I81="x",4)</f>
        <v>0</v>
      </c>
      <c r="C5" s="12"/>
      <c r="D5" s="12"/>
      <c r="E5" s="20" t="s">
        <v>37</v>
      </c>
      <c r="F5" s="17">
        <v>10</v>
      </c>
      <c r="G5" s="19">
        <f>IF(F5&lt;=0,-5,IF(F5=1,-5,IF(F5=2,-4,IF(F5=3,-4,IF(F5=4,-3,IF(F5=5,-3,IF(F5=6,-2,IF(F5=7,-2,IF(F5=8,-1,IF(F5=9,-1,IF(F5=10,0,IF(F5=11,0,IF(F5=12,1,IF(F5=13,1,IF(F5=14,2,IF(F5=15,2,IF(F5=16,3,IF(F5=17,3,IF(F5=18,4,IF(F5=19,4,IF(F5=20,5,IF(F5=21,5,IF(F5=22,6,IF(F5=23,6,IF(F5=24,7,IF(F5=25,7,IF(F5=26,8,IF(F5=27,8,IF(F5=28,9,IF(F5=29,9,IF(F5=30,10,IF(F5=31,10,IF(F5=32,11,IF(F5=33,11,IF(F5=34,12,IF(F5=35,12,IF(F5=36,13,IF(F5=37,13,IF(F5=38,14,IF(F5=39,14,IF(F5=40,15,IF(F5=41,15,IF(F25=42,16,IF(F5=43,16,IF(F5=44,17,IF(F5=45,17,IF(F5=46,18,IF(F5=47,18,IF(F5=48,19,IF(F5=49,19,IF(F5=50,20,IF(F5=51,20))))))))))))))))))))))))))))))))))))))))))))))))))))</f>
        <v>0</v>
      </c>
      <c r="H5" s="12">
        <f>F5-J5-K5-L5+IF(M97="x",4)+M5</f>
        <v>10</v>
      </c>
      <c r="I5" s="19">
        <f>IF(H5&lt;=0,-5,IF(H5=1,-5,IF(H5=2,-4,IF(H5=3,-4,IF(H5=4,-3,IF(H5=5,-3,IF(H5=6,-2,IF(H5=7,-2,IF(H5=8,-1,IF(H5=9,-1,IF(H5=10,0,IF(H5=11,0,IF(H5=12,1,IF(H5=13,1,IF(H5=14,2,IF(H5=15,2,IF(H5=16,3,IF(H5=17,3,IF(H5=18,4,IF(H5=19,4,IF(H5=20,5,IF(H5=21,5,IF(H5=22,6,IF(H5=23,6,IF(H5=24,7,IF(H5=25,7,IF(H5=26,8,IF(H5=27,8,IF(H5=28,9,IF(H5=29,9,IF(H5=30,10,IF(H5=31,10,IF(H5=32,11,IF(H5=33,11,IF(H5=34,12,IF(H5=35,12,IF(H5=36,13,IF(H5=37,13,IF(H5=38,14,IF(H5=39,14,IF(H5=40,15,IF(H5=41,15,IF(H25=42,16,IF(H5=43,16,IF(H5=44,17,IF(H5=45,17,IF(H5=46,18,IF(H5=47,18,IF(H5=48,19,IF(H5=49,19,IF(H5=50,20,IF(H5=51,20))))))))))))))))))))))))))))))))))))))))))))))))))))</f>
        <v>0</v>
      </c>
      <c r="J5" s="17">
        <v>0</v>
      </c>
      <c r="K5" s="17">
        <v>0</v>
      </c>
      <c r="L5" s="17">
        <v>0</v>
      </c>
      <c r="M5" s="17">
        <v>0</v>
      </c>
      <c r="N5" s="12"/>
    </row>
    <row r="6" spans="1:15" s="15" customFormat="1" x14ac:dyDescent="0.2">
      <c r="A6" s="16" t="s">
        <v>24</v>
      </c>
      <c r="B6" s="18">
        <f>B3+I2-IF(B7="Minimaalinen",16)-IF(B7="Taskukokoinen",12)-IF(B7="Hyvin pieni",8)-IF(B7="Pieni",4)-IF(B7="Keskikokoinen",0)+IF(B7="Iso",4)+IF(B7="Valtava",8)+IF(B7="Suunnaton",12)+IF(B7="Giganttinen",16)+IF(M40="x",4)+IF(C77="x",4)</f>
        <v>0</v>
      </c>
      <c r="C6" s="12"/>
      <c r="D6" s="12"/>
      <c r="E6" s="20" t="s">
        <v>36</v>
      </c>
      <c r="F6" s="17">
        <v>10</v>
      </c>
      <c r="G6" s="19">
        <f>IF(F6&lt;=0,-5,IF(F6=1,-5,IF(F6=2,-4,IF(F6=3,-4,IF(F6=4,-3,IF(F6=5,-3,IF(F6=6,-2,IF(F6=7,-2,IF(F6=8,-1,IF(F6=9,-1,IF(F6=10,0,IF(F6=11,0,IF(F6=12,1,IF(F6=13,1,IF(F6=14,2,IF(F6=15,2,IF(F6=16,3,IF(F6=17,3,IF(F6=18,4,IF(F6=19,4,IF(F6=20,5,IF(F6=21,5,IF(F6=22,6,IF(F6=23,6,IF(F6=24,7,IF(F6=25,7,IF(F6=26,8,IF(F6=27,8,IF(F6=28,9,IF(F6=29,9,IF(F6=30,10,IF(F6=31,10,IF(F6=32,11,IF(F6=33,11,IF(F6=34,12,IF(F6=35,12,IF(F6=36,13,IF(F6=37,13,IF(F6=38,14,IF(F6=39,14,IF(F6=40,15,IF(F6=41,15,IF(F26=42,16,IF(F6=43,16,IF(F6=44,17,IF(F6=45,17,IF(F6=46,18,IF(F6=47,18,IF(F6=48,19,IF(F6=49,19,IF(F6=50,20,IF(F6=51,20))))))))))))))))))))))))))))))))))))))))))))))))))))</f>
        <v>0</v>
      </c>
      <c r="H6" s="12">
        <f>F6-J6-K6-L6+IF(M107="x",4)+M6</f>
        <v>10</v>
      </c>
      <c r="I6" s="19">
        <f>IF(H6&lt;=0,-5,IF(H6=1,-5,IF(H6=2,-4,IF(H6=3,-4,IF(H6=4,-3,IF(H6=5,-3,IF(H6=6,-2,IF(H6=7,-2,IF(H6=8,-1,IF(H6=9,-1,IF(H6=10,0,IF(H6=11,0,IF(H6=12,1,IF(H6=13,1,IF(H6=14,2,IF(H6=15,2,IF(H6=16,3,IF(H6=17,3,IF(H6=18,4,IF(H6=19,4,IF(H6=20,5,IF(H6=21,5,IF(H6=22,6,IF(H6=23,6,IF(H6=24,7,IF(H6=25,7,IF(H6=26,8,IF(H6=27,8,IF(H6=28,9,IF(H6=29,9,IF(H6=30,10,IF(H6=31,10,IF(H6=32,11,IF(H6=33,11,IF(H6=34,12,IF(H6=35,12,IF(H6=36,13,IF(H6=37,13,IF(H6=38,14,IF(H6=39,14,IF(H6=40,15,IF(H6=41,15,IF(H26=42,16,IF(H6=43,16,IF(H6=44,17,IF(H6=45,17,IF(H6=46,18,IF(H6=47,18,IF(H6=48,19,IF(H6=49,19,IF(H6=50,20,IF(H6=51,20))))))))))))))))))))))))))))))))))))))))))))))))))))</f>
        <v>0</v>
      </c>
      <c r="J6" s="17">
        <v>0</v>
      </c>
      <c r="K6" s="17">
        <v>0</v>
      </c>
      <c r="L6" s="17">
        <v>0</v>
      </c>
      <c r="M6" s="17">
        <v>0</v>
      </c>
      <c r="N6" s="12"/>
    </row>
    <row r="7" spans="1:15" s="15" customFormat="1" x14ac:dyDescent="0.2">
      <c r="A7" s="16" t="s">
        <v>47</v>
      </c>
      <c r="B7" s="21" t="s">
        <v>378</v>
      </c>
      <c r="C7" s="12" t="str">
        <f>IF(AND(M93="x",B7="Minimaalinen"),"Taskukokoinen",IF(AND(M93="x",B7="Taskukokoinen"),"Hyvin pieni",IF(AND(M93="x",B7="Hyvin pieni"),"Pieni",IF(AND(M93="x",B7="Pieni"),"Keskikokoinen",IF(AND(M93="x",B7="Keskikokoinen"),"Iso",IF(AND(M93="x",B7="Iso"),"Valtava",IF(AND(M93="x",B7="Valtava"),"Suunnaton",IF(AND(M93="x",B7="Suunnaton"),"Giganttinen",
IF(AND(M88="x",B7="Minimaalinen"),"Taskukokoinen",IF(AND(M88="x",B7="Taskukokoinen"),"Hyvin pieni",IF(AND(M88="x",B7="Hyvin pieni"),"Pieni",IF(AND(M88="x",B7="Pieni"),"Keskikokoinen",IF(AND(M88="x",B7="Keskikokoinen"),"Iso",IF(AND(M88="x",B7="Iso"),"Valtava",IF(AND(M88="x",B7="Valtava"),"Suunnaton",IF(AND(M88="x",B7="Suunnaton"),"Giganttinen",
IF(AND(M87="x",B7="Giganttinen"),"Suunnaton",IF(AND(M87="x",B7="Suunnaton"),"Valtava",IF(AND(M87="x",B7="Valtava"),"Iso",IF(AND(M87="x",B7="Iso"),"Keskikokoinen",IF(AND(M87="x",B7="Keskikokoinen"),"Pieni",IF(AND(M87="x",B7="Pieni"),"Hyvin pieni",IF(AND(M87="x",B7="Hyvin pieni"),"Minimaalinen",
B7)))))))))))))))))))))))</f>
        <v>Keskikokoinen</v>
      </c>
      <c r="D7" s="12"/>
      <c r="E7" s="16" t="s">
        <v>38</v>
      </c>
      <c r="F7" s="17">
        <v>10</v>
      </c>
      <c r="G7" s="19">
        <f>IF(F7&lt;=0,-5,IF(F7=1,-5,IF(F7=2,-4,IF(F7=3,-4,IF(F7=4,-3,IF(F7=5,-3,IF(F7=6,-2,IF(F7=7,-2,IF(F7=8,-1,IF(F7=9,-1,IF(F7=10,0,IF(F7=11,0,IF(F7=12,1,IF(F7=13,1,IF(F7=14,2,IF(F7=15,2,IF(F7=16,3,IF(F7=17,3,IF(F7=18,4,IF(F7=19,4,IF(F7=20,5,IF(F7=21,5,IF(F7=22,6,IF(F7=23,6,IF(F7=24,7,IF(F7=25,7,IF(F7=26,8,IF(F7=27,8,IF(F7=28,9,IF(F7=29,9,IF(F7=30,10,IF(F7=31,10,IF(F7=32,11,IF(F7=33,11,IF(F7=34,12,IF(F7=35,12,IF(F7=36,13,IF(F7=37,13,IF(F7=38,14,IF(F7=39,14,IF(F7=40,15,IF(F7=41,15,IF(F27=42,16,IF(F7=43,16,IF(F7=44,17,IF(F7=45,17,IF(F7=46,18,IF(F7=47,18,IF(F7=48,19,IF(F7=49,19,IF(F7=50,20,IF(F7=51,20))))))))))))))))))))))))))))))))))))))))))))))))))))</f>
        <v>0</v>
      </c>
      <c r="H7" s="12">
        <f>F7-J7-K7-L7+IF(M102="x",4)+M7</f>
        <v>10</v>
      </c>
      <c r="I7" s="19">
        <f>IF(H7&lt;=0,-5,IF(H7=1,-5,IF(H7=2,-4,IF(H7=3,-4,IF(H7=4,-3,IF(H7=5,-3,IF(H7=6,-2,IF(H7=7,-2,IF(H7=8,-1,IF(H7=9,-1,IF(H7=10,0,IF(H7=11,0,IF(H7=12,1,IF(H7=13,1,IF(H7=14,2,IF(H7=15,2,IF(H7=16,3,IF(H7=17,3,IF(H7=18,4,IF(H7=19,4,IF(H7=20,5,IF(H7=21,5,IF(H7=22,6,IF(H7=23,6,IF(H7=24,7,IF(H7=25,7,IF(H7=26,8,IF(H7=27,8,IF(H7=28,9,IF(H7=29,9,IF(H7=30,10,IF(H7=31,10,IF(H7=32,11,IF(H7=33,11,IF(H7=34,12,IF(H7=35,12,IF(H7=36,13,IF(H7=37,13,IF(H7=38,14,IF(H7=39,14,IF(H7=40,15,IF(H7=41,15,IF(H27=42,16,IF(H7=43,16,IF(H7=44,17,IF(H7=45,17,IF(H7=46,18,IF(H7=47,18,IF(H7=48,19,IF(H7=49,19,IF(H7=50,20,IF(H7=51,20))))))))))))))))))))))))))))))))))))))))))))))))))))</f>
        <v>0</v>
      </c>
      <c r="J7" s="17">
        <v>0</v>
      </c>
      <c r="K7" s="17">
        <v>0</v>
      </c>
      <c r="L7" s="17">
        <v>0</v>
      </c>
      <c r="M7" s="17">
        <v>0</v>
      </c>
      <c r="N7" s="12"/>
    </row>
    <row r="8" spans="1:15" s="15" customFormat="1" x14ac:dyDescent="0.2">
      <c r="A8" s="16" t="s">
        <v>49</v>
      </c>
      <c r="B8" s="12" t="str">
        <f>IF(C7="Minimaalinen","½ j / 0 j",IF(C7="Taskukokoinen","1 j / 0 j",IF(C7="Hyvin pieni","2½ j / 0 j",IF(C7="Pieni","5 j / 5 j",IF(C7="Keskikokoinen","5 j / 5 j",IF(C7="Iso","10 j / 10 j",IF(C7="Valtava","15 j / 15 j",IF(C7="Suunnaton","20 j / 20 j",IF(C7="Giganttinen","30 j / 30 j")))))))))</f>
        <v>5 j / 5 j</v>
      </c>
      <c r="C8" s="22"/>
      <c r="D8" s="23"/>
      <c r="E8" s="12"/>
      <c r="F8" s="12"/>
      <c r="G8" s="12"/>
      <c r="H8" s="12"/>
      <c r="I8" s="12"/>
      <c r="N8" s="12"/>
    </row>
    <row r="9" spans="1:15" s="15" customFormat="1" x14ac:dyDescent="0.2">
      <c r="A9" s="24" t="s">
        <v>48</v>
      </c>
      <c r="B9" s="21">
        <v>30</v>
      </c>
      <c r="C9" s="12">
        <f>IF(I84="x",B9/2,B9)+IF(M101="x",10)+IF(AND(M105="x",B9&lt;30),B9,)+IF(AND(M105="x",B9&gt;=30),30,)</f>
        <v>30</v>
      </c>
      <c r="D9" s="23"/>
      <c r="E9" s="12"/>
      <c r="F9" s="12"/>
      <c r="G9" s="12"/>
      <c r="H9" s="12"/>
      <c r="I9" s="12"/>
      <c r="N9" s="12"/>
    </row>
    <row r="10" spans="1:15" s="15" customFormat="1" x14ac:dyDescent="0.2">
      <c r="A10" s="24" t="s">
        <v>341</v>
      </c>
      <c r="B10" s="17">
        <v>0</v>
      </c>
      <c r="C10" s="12"/>
      <c r="D10" s="23"/>
      <c r="E10" s="12"/>
      <c r="F10" s="12"/>
      <c r="G10" s="12"/>
      <c r="H10" s="12"/>
      <c r="I10" s="12"/>
      <c r="N10" s="12"/>
    </row>
    <row r="11" spans="1:15" s="15" customFormat="1" x14ac:dyDescent="0.2">
      <c r="B11" s="12"/>
      <c r="C11" s="12"/>
      <c r="D11" s="23"/>
      <c r="E11" s="12"/>
      <c r="F11" s="12"/>
      <c r="G11" s="12"/>
      <c r="H11" s="12"/>
      <c r="I11" s="12"/>
      <c r="N11" s="12"/>
      <c r="O11" s="25"/>
    </row>
    <row r="12" spans="1:15" s="15" customFormat="1" x14ac:dyDescent="0.2">
      <c r="A12" s="26"/>
      <c r="B12" s="27"/>
      <c r="C12" s="27"/>
      <c r="D12" s="27"/>
      <c r="E12" s="26"/>
      <c r="F12" s="27"/>
      <c r="G12" s="27"/>
      <c r="H12" s="27"/>
      <c r="I12" s="27"/>
      <c r="J12" s="26"/>
      <c r="K12" s="26"/>
      <c r="L12" s="26"/>
      <c r="M12" s="26"/>
      <c r="N12" s="27"/>
    </row>
    <row r="13" spans="1:15" s="15" customFormat="1" x14ac:dyDescent="0.2">
      <c r="A13" s="10" t="s">
        <v>110</v>
      </c>
      <c r="B13" s="11" t="s">
        <v>200</v>
      </c>
      <c r="C13" s="11" t="s">
        <v>201</v>
      </c>
      <c r="D13" s="14" t="s">
        <v>45</v>
      </c>
      <c r="F13" s="12"/>
      <c r="G13" s="10" t="s">
        <v>12</v>
      </c>
      <c r="H13" s="12"/>
      <c r="I13" s="10"/>
      <c r="J13" s="12"/>
      <c r="K13" s="10" t="s">
        <v>111</v>
      </c>
      <c r="L13" s="10"/>
    </row>
    <row r="14" spans="1:15" s="15" customFormat="1" x14ac:dyDescent="0.2">
      <c r="A14" s="16" t="s">
        <v>5</v>
      </c>
      <c r="B14" s="18">
        <f>10+IF(M98="x",4)+I3+SUM(I14:I20)-IF(C75="x",2)-IF(N14="x",4)-IF(N15="x",4)-IF(N16="x",2)-IF(I87="x",4)-IF(I91="x",2)+IF(I91="x",4)+IF(C83="x",2)-IF(M80="x",2)+(IF(M78="x",4)+C112)+IF(M105="x",1)+IF(M89="x",2)+IF(M90="x",1)+M106+IF(M104="x",4)+M116+IF($H$843&gt;0,I6)+_xlfn.IFS($H$843&lt;5,0,$H$843&lt;10,1,$H$843&lt;15,2,$H$843&lt;20,3,$H$843=20,4)+IF(N21="x",4)</f>
        <v>10</v>
      </c>
      <c r="C14" s="18">
        <f>10+IF(M98="x",4)+I3+C112+SUM(I14:I20)-IF(C75="x",2)-IF(N14="x",4)+IF(N15="x",4)+IF(N16="x",2)-IF(I91="x",2)+IF(N18="x",4)+IF(C83="x",2)-IF(M80="x",2)+(IF(M78="x",4)+IF(M105="x",1)+IF(M89="x",2)+IF(M90="x",1)+M106+IF(M104="x",4)+M116)+IF($H$843&gt;0,I6)+_xlfn.IFS($H$843&lt;5,0,$H$843&lt;10,1,$H$843&lt;15,2,$H$843&lt;20,3,$H$843=20,4)+IF(N21="x",4)</f>
        <v>10</v>
      </c>
      <c r="D14" s="12" t="str">
        <f>IF(M80="x","20 %",""&amp;IF(N20="x","50 %",""&amp;IF(I83="x","50 %",""&amp;IF(M91="x","50 % (5 j 20 %)",""&amp;IF(M115="x","50 % (5 j 20 %)",""&amp;IF(M120="x","50 %",""))))))</f>
        <v/>
      </c>
      <c r="F14" s="12"/>
      <c r="G14" s="16" t="s">
        <v>7</v>
      </c>
      <c r="H14" s="12"/>
      <c r="I14" s="17">
        <v>0</v>
      </c>
      <c r="J14" s="12"/>
      <c r="K14" s="16" t="s">
        <v>26</v>
      </c>
      <c r="N14" s="28"/>
    </row>
    <row r="15" spans="1:15" s="15" customFormat="1" x14ac:dyDescent="0.2">
      <c r="A15" s="16" t="s">
        <v>6</v>
      </c>
      <c r="B15" s="18">
        <f>10+IF(M98="x",4)+SUM(I14:I18,I20)-IF(C75="x",2)-IF(N14="x",4)-IF(N15="x",4)-IF(N16="x",2)-IF(I87="x",4)-IF(I91="x",2)+IF(N18="x",4)+IF(C83="x",2)-IF(M80="x",2)+IF(M90="x",1)+M106+IF(M104="x",4)+M116+IF($H$843&gt;0,I6)+_xlfn.IFS($H$843&lt;5,0,$H$843&lt;10,1,$H$843&lt;15,2,$H$843&lt;20,3,$H$843=20,4)+IF(N21="x",4)+IF(I3&lt;0,I3)</f>
        <v>10</v>
      </c>
      <c r="C15" s="18">
        <f>10+IF(M98="x",4)+SUM(I14:I18,I20)-IF(C75="x",2)-IF(N14="x",4)+IF(N15="x",4)+IF(N16="x",2)-IF(I91="x",2)+IF(N18="x",4)+IF(C83="x",2)-IF(M80="x",2)+IF(M90="x",1)+M106+IF(M104="x",4)+M116+IF($H$843&gt;0,I6)+_xlfn.IFS($H$843&lt;5,0,$H$843&lt;10,1,$H$843&lt;15,2,$H$843&lt;20,3,$H$843=20,4)+IF(N21="x",4)+IF(I3&lt;0,I3)</f>
        <v>10</v>
      </c>
      <c r="D15" s="12" t="str">
        <f>(IF(N19="x","20 %",""&amp;IF(N20="x","50 %",""&amp;IF(I83="x","50 %",""&amp;IF(M91="x","50 % (5 j 20 %)",""&amp;IF(M115="x","50 % (5 j 20 %)",""&amp;IF(M120="x","50 %","")))))))</f>
        <v/>
      </c>
      <c r="F15" s="12"/>
      <c r="G15" s="16" t="s">
        <v>13</v>
      </c>
      <c r="H15" s="12"/>
      <c r="I15" s="17">
        <v>0</v>
      </c>
      <c r="J15" s="12"/>
      <c r="K15" s="16" t="s">
        <v>109</v>
      </c>
      <c r="N15" s="28"/>
    </row>
    <row r="16" spans="1:15" s="15" customFormat="1" x14ac:dyDescent="0.2">
      <c r="A16" s="16" t="s">
        <v>423</v>
      </c>
      <c r="B16" s="18">
        <f>10+C112+I3+SUM(I16,I18,I19,I20)-IF(C75="x",2)-IF(N14="x",4)-IF(N15="x",4)-IF(N16="x",2)-IF(I87="x",4)-IF(I91="x",2)+IF(N18="x",4)+IF(C83="x",2)-IF(M80="x",2)+IF(M78="x",4)+IF(M105="x",1)+IF(M89="x",2)+IF(M90="x",1)+IF($H$843&gt;0,I6)+_xlfn.IFS($H$843&lt;5,0,$H$843&lt;10,1,$H$843&lt;15,2,$H$843&lt;20,3,$H$843=20,4)+IF(N21="x",4)</f>
        <v>10</v>
      </c>
      <c r="C16" s="18">
        <f>10+C112+I3+SUM(I16,I18,I19,I20)-IF(C75="x",2)-IF(N14="x",4)+IF(N15="x",4)+IF(N16="x",2)-IF(I91="x",2)+IF(N18="x",4)+IF(C83="x",2)-IF(M80="x",2)+IF(M78="x",4)+IF(M105="x",1)+IF(M89="x",2)+IF(M90="x",1)+IF($H$843&gt;0,I6)+_xlfn.IFS($H$843&lt;5,0,$H$843&lt;10,1,$H$843&lt;15,2,$H$843&lt;20,3,$H$843=20,4)+IF(N21="x",4)</f>
        <v>10</v>
      </c>
      <c r="D16" s="12" t="str">
        <f>(IF(N19="x","20 %",""&amp;IF(N20="x","50 %",""&amp;IF(I83="x","50 %",""&amp;IF(M91="x","50 % (5 j 20 %)",""&amp;IF(M115="x","50 % (5 j 20 %)",""&amp;IF(M120="x","50 %","")))))))</f>
        <v/>
      </c>
      <c r="G16" s="16" t="s">
        <v>14</v>
      </c>
      <c r="H16" s="12"/>
      <c r="I16" s="29">
        <f>IF(C7="Minimaalinen",8,IF(C7="Taskukokoinen",4,IF(C7="Hyvin pieni",2,IF(C7="Pieni",1,IF(C7="Keskikokoinen",0,IF(C7="Iso",-1,IF(C7="Valtava",-2,IF(C7="Suunnaton",-4,IF(C7="Giganttinen",-8)))))))))</f>
        <v>0</v>
      </c>
      <c r="K16" s="16" t="s">
        <v>155</v>
      </c>
      <c r="N16" s="28"/>
    </row>
    <row r="17" spans="1:14" s="15" customFormat="1" x14ac:dyDescent="0.2">
      <c r="G17" s="16" t="s">
        <v>18</v>
      </c>
      <c r="I17" s="17">
        <v>0</v>
      </c>
      <c r="K17" s="16" t="s">
        <v>145</v>
      </c>
      <c r="N17" s="28"/>
    </row>
    <row r="18" spans="1:14" s="15" customFormat="1" x14ac:dyDescent="0.2">
      <c r="A18" s="30" t="s">
        <v>128</v>
      </c>
      <c r="B18" s="31"/>
      <c r="C18" s="31"/>
      <c r="D18" s="32" t="s">
        <v>129</v>
      </c>
      <c r="E18" s="32" t="s">
        <v>156</v>
      </c>
      <c r="G18" s="16" t="s">
        <v>15</v>
      </c>
      <c r="I18" s="17">
        <v>0</v>
      </c>
      <c r="K18" s="16" t="s">
        <v>20</v>
      </c>
      <c r="N18" s="28"/>
    </row>
    <row r="19" spans="1:14" s="15" customFormat="1" x14ac:dyDescent="0.2">
      <c r="A19" s="31" t="s">
        <v>121</v>
      </c>
      <c r="B19" s="33">
        <f>10+IF(M98="x",4)+C112-2+SUM(I14:I18,I20)-IF(C75="x",2)-IF(N14="x",4)-IF(N15="x",4)-IF(N16="x",2)-IF(I87="x",4)-IF(I91="x",2)+IF(N18="x",4)+IF(N21="x",4)+IF(M78="x",4)+IF(M90="x",1)+M106+IF(M104="x",4)+M116+IF($H$843&gt;0,I6)+_xlfn.IFS($H$843&lt;5,0,$H$843&lt;10,1,$H$843&lt;15,2,$H$843&lt;20,3,$H$843=20,4)+IF(I3&lt;0,I3)</f>
        <v>8</v>
      </c>
      <c r="C19" s="33">
        <f>10+IF(M98="x",4)-2+SUM(I14:I18,I20)-IF(C75="x",2)-IF(N14="x",4)+IF(N15="x",4)+IF(N16="x",2)-IF(I91="x",2)+IF(N18="x",4)+IF(N21="x",4)+IF(M78="x",4)+IF(M90="x",1)+M106+IF(M104="x",4)+M116+IF($H$843&gt;0,I6)+_xlfn.IFS($H$843&lt;5,0,$H$843&lt;10,1,$H$843&lt;15,2,$H$843&lt;20,3,$H$843=20,4)+IF(I3&lt;0,I3)</f>
        <v>8</v>
      </c>
      <c r="D19" s="33">
        <f>10+C112-2+SUM(I16,I18,I20)-IF(C75="x",2)-IF(N14="x",4)-IF(N15="x",4)-IF(N16="x",2)-IF(I87="x",4)-IF(I91="x",2)+IF(N18="x",4)+IF(N21="x",4)+IF(M78="x",4)+IF(M90="x",1)+M116+IF($H$843&gt;0,I6)+_xlfn.IFS($H$843&lt;5,0,$H$843&lt;10,1,$H$843&lt;15,2,$H$843&lt;20,3,$H$843=20,4)+IF(I3&lt;0,I3)</f>
        <v>8</v>
      </c>
      <c r="E19" s="33">
        <f>10+C112-2+SUM(I16,I18,I20)-IF(C75="x",2)-IF(N14="x",4)+IF(N15="x",4)+IF(N16="x",2)-IF(I91="x",2)+IF(N18="x",4)+IF(N21="x",4)+IF(M78="x",4)+IF(M90="x",1)+IF($H$843&gt;0,I6)+_xlfn.IFS($H$843&lt;5,0,$H$843&lt;10,1,$H$843&lt;15,2,$H$843&lt;20,3,$H$843=20,4)+IF(I3&lt;0,I3)</f>
        <v>8</v>
      </c>
      <c r="F19" s="12"/>
      <c r="G19" s="16" t="s">
        <v>180</v>
      </c>
      <c r="I19" s="17">
        <v>0</v>
      </c>
      <c r="J19" s="12"/>
      <c r="K19" s="16" t="s">
        <v>19</v>
      </c>
      <c r="N19" s="28"/>
    </row>
    <row r="20" spans="1:14" s="15" customFormat="1" x14ac:dyDescent="0.2">
      <c r="A20" s="31" t="s">
        <v>125</v>
      </c>
      <c r="B20" s="33">
        <f>10+IF(M98="x",4)+C112+SUM(I14:I18,I20)-IF(C75="x",2)-IF(N14="x",4)-IF(N15="x",4)-IF(N16="x",2)-IF(I87="x",4)-IF(I91="x",2)+IF(N18="x",4)+IF(C83="x",2)+IF(N21="x",4)-IF(M80="x",2)+IF(M78="x",4)+IF(M90="x",1)+M106+IF(M104="x",4)+M116+IF(C105="x",I3)+IF($H$843&gt;0,I6)+_xlfn.IFS($H$843&lt;5,0,$H$843&lt;10,1,$H$843&lt;15,2,$H$843&lt;20,3,$H$843=20,4)+IF(I3&lt;0,I3)</f>
        <v>10</v>
      </c>
      <c r="C20" s="33">
        <f>10+IF(M98="x",4)+SUM(I14:I18,I20)-IF(C75="x",2)-IF(N14="x",4)+IF(N15="x",4)+IF(N16="x",2)-IF(I91="x",2)+IF(N18="x",4)+IF(C83="x",2)+IF(N21="x",4)+IF(M78="x",4)+M106+IF(M104="x",4)+M116+IF($H$843&gt;0,I6)+_xlfn.IFS($H$843&lt;5,0,$H$843&lt;10,1,$H$843&lt;15,2,$H$843&lt;20,3,$H$843=20,4)+IF(I3&lt;0,I3)</f>
        <v>10</v>
      </c>
      <c r="D20" s="33">
        <f>10+C112+SUM(I16,I18,I20)-IF(C75="x",2)-IF(N14="x",4)-IF(N15="x",4)-IF(N16="x",2)-IF(I87="x",4)-IF(I91="x",2)+IF(N18="x",4)+(IF(C83="x",2))+IF(N21="x",4)+IF(M78="x",4)+IF(M90="x",1)+IF(M104="x",4)+M116+IF(C105="x",I3)+IF($H$843&gt;0,I6)+_xlfn.IFS($H$843&lt;5,0,$H$843&lt;10,1,$H$843&lt;15,2,$H$843&lt;20,3,$H$843=20,4)+IF(I3&lt;0,I3)</f>
        <v>10</v>
      </c>
      <c r="E20" s="33">
        <f>10+C112+SUM(I16,I18,I20)-IF(C75="x",2)-IF(N14="x",4)+IF(N15="x",4)+IF(N16="x",2)-IF(I91="x",2)+IF(N18="x",4)+(IF(C83="x",2))+IF(N21="x",4)+IF(M78="x",4)+IF(M90="x",1)+IF($H$843&gt;0,I6)+_xlfn.IFS($H$843&lt;5,0,$H$843&lt;10,1,$H$843&lt;15,2,$H$843&lt;20,3,$H$843=20,4)+IF(I3&lt;0,I3)</f>
        <v>10</v>
      </c>
      <c r="F20" s="12"/>
      <c r="G20" s="15" t="s">
        <v>16</v>
      </c>
      <c r="I20" s="17">
        <v>0</v>
      </c>
      <c r="J20" s="12"/>
      <c r="K20" s="16" t="s">
        <v>146</v>
      </c>
      <c r="M20" s="12"/>
      <c r="N20" s="28"/>
    </row>
    <row r="21" spans="1:14" s="15" customFormat="1" x14ac:dyDescent="0.2">
      <c r="A21" s="31" t="s">
        <v>154</v>
      </c>
      <c r="B21" s="33">
        <f>10+IF(M98="x",4)+SUM(I14:I18,I20)+IF(N18="x",4)-IF(M80="x",2)+IF(M78="x",4)+IF(M90="x",1)+M106+IF(M104="x",4)+M116+IF($H$843&gt;0,I6)+_xlfn.IFS($H$843&lt;5,0,$H$843&lt;10,1,$H$843&lt;15,2,$H$843&lt;20,3,$H$843=20,4)+IF(I3&lt;0,I3)</f>
        <v>10</v>
      </c>
      <c r="C21" s="33">
        <f>10+IF(M98="x",4)+SUM(I14:I18,I20)+IF(N18="x",4)+IF(M78="x",4)+M106+M116+IF($H$843&gt;0,I6)+_xlfn.IFS($H$843&lt;5,0,$H$843&lt;10,1,$H$843&lt;15,2,$H$843&lt;20,3,$H$843=20,4)+IF(I3&lt;0,I3)</f>
        <v>10</v>
      </c>
      <c r="D21" s="33">
        <f>10+SUM(I16,I18,I20)+IF(N18="x",4)+IF(M78="x",4)+IF(M90="x",1)+IF($H$843&gt;0,I6)+_xlfn.IFS($H$843&lt;5,0,$H$843&lt;10,1,$H$843&lt;15,2,$H$843&lt;20,3,$H$843=20,4)+IF(I3&lt;0,I3)</f>
        <v>10</v>
      </c>
      <c r="E21" s="33">
        <f>10+SUM(I16,I18,I20)+IF(N18="x",4)+IF(M78="x",4)+IF(M90="x",1)+IF($H$843&gt;0,I6)+_xlfn.IFS($H$843&lt;5,0,$H$843&lt;10,1,$H$843&lt;15,2,$H$843&lt;20,3,$H$843=20,4)+IF(I3&lt;0,I3)</f>
        <v>10</v>
      </c>
      <c r="F21" s="12"/>
      <c r="G21" s="12"/>
      <c r="H21" s="12"/>
      <c r="I21" s="12"/>
      <c r="J21" s="12"/>
      <c r="K21" s="16" t="s">
        <v>372</v>
      </c>
      <c r="N21" s="28"/>
    </row>
    <row r="22" spans="1:14" s="15" customFormat="1" x14ac:dyDescent="0.2">
      <c r="A22" s="31" t="s">
        <v>116</v>
      </c>
      <c r="B22" s="33">
        <f>10+IF(M98="x",4)-4-5+SUM(I14:I18,I20)+IF(N18="x",4)+M106+IF(M104="x",4)+M116</f>
        <v>1</v>
      </c>
      <c r="C22" s="33">
        <f>10+IF(M98="x",4)-4-5+SUM(I14:I18,I20)+IF(N18="x",4)+M106+IF(M104="x",4)+M116</f>
        <v>1</v>
      </c>
      <c r="D22" s="33">
        <f>10-4-5+SUM(I16,I18,I20)+IF(N18="x",4)</f>
        <v>1</v>
      </c>
      <c r="E22" s="33">
        <f>10-4-5+SUM(I16,I18,I20)+IF(N18="x",4)</f>
        <v>1</v>
      </c>
      <c r="F22" s="12"/>
      <c r="G22" s="12"/>
      <c r="H22" s="12"/>
      <c r="I22" s="12"/>
      <c r="N22" s="12"/>
    </row>
    <row r="23" spans="1:14" s="15" customFormat="1" x14ac:dyDescent="0.2">
      <c r="A23" s="31" t="s">
        <v>115</v>
      </c>
      <c r="B23" s="33">
        <f>10+IF(M98="x",4)-4+SUM(I14:I18,I20)+IF(N18="x",4)+M106+IF(M104="x",4)+M116+IF(I3&lt;0,I3)</f>
        <v>6</v>
      </c>
      <c r="C23" s="33">
        <f>10+IF(M98="x",4)-4+SUM(I14:I18,I20)+IF(N18="x",4)+M106+IF(M104="x",4)+M116+IF(I3&lt;0,I3)</f>
        <v>6</v>
      </c>
      <c r="D23" s="33">
        <f>10-4+SUM(I16,I18,I20)+IF(N18="x",4)+IF(I3&lt;0,I3)</f>
        <v>6</v>
      </c>
      <c r="E23" s="33">
        <f>10-4+SUM(I16,I18,I20)+IF(N18="x",4)+IF(I3&lt;0,I3)</f>
        <v>6</v>
      </c>
      <c r="F23" s="12"/>
      <c r="G23" s="12"/>
      <c r="H23" s="12"/>
      <c r="I23" s="12"/>
      <c r="N23" s="12"/>
    </row>
    <row r="24" spans="1:14" s="15" customFormat="1" x14ac:dyDescent="0.2">
      <c r="A24" s="31" t="s">
        <v>108</v>
      </c>
      <c r="B24" s="33">
        <f>10+IF(M98="x",4)+C112-2+SUM(I14:I18,I20)-IF(C75="x",2)-IF(N14="x",4)-IF(N15="x",4)-IF(N16="x",2)-IF(I87="x",4)-IF(I91="x",2)+IF(N18="x",4)+(IF(C83="x",2))+IF(N21="x",4)-IF(M80="x",2)+(IF(M78="x",4)+IF(M90="x",1)+M106+IF(M104="x",4)+M116)+IF($H$843&gt;0,I6)+_xlfn.IFS($H$843&lt;5,0,$H$843&lt;10,1,$H$843&lt;15,2,$H$843&lt;20,3,$H$843=20,4)+IF(I3&lt;0,I3)</f>
        <v>8</v>
      </c>
      <c r="C24" s="33">
        <f>10+IF(M98="x",4)+C112-2+SUM(I14:I18,I20)-IF(C75="x",2)-IF(N14="x",4)+IF(N15="x",4)+IF(N16="x",2)-IF(I91="x",2)+IF(N18="x",4)+IF(C83="x",2)+IF(N21="x",4)+IF(M78="x",4)+IF(M90="x",1)+M106+IF(M104="x",4)+M116+IF($H$843&gt;0,I6)+_xlfn.IFS($H$843&lt;5,0,$H$843&lt;10,1,$H$843&lt;15,2,$H$843&lt;20,3,$H$843=20,4)+IF(I3&lt;0,I3)</f>
        <v>8</v>
      </c>
      <c r="D24" s="33">
        <f>10+C112-2+SUM(I16,I18,I20)-IF(C75="x",2)-IF(N14="x",4)-IF(N15="x",4)-IF(N16="x",2)-IF(I87="x",4)-IF(I91="x",2)+IF(N18="x",4)+IF(C83="x",2)+IF(N21="x",4)+IF(M78="x",4)+IF(M90="x",1)+IF($H$843&gt;0,I6)+_xlfn.IFS($H$843&lt;5,0,$H$843&lt;10,1,$H$843&lt;15,2,$H$843&lt;20,3,$H$843=20,4)+IF(I3&lt;0,I3)</f>
        <v>8</v>
      </c>
      <c r="E24" s="33">
        <f>10+C112-2+SUM(I16,I18,I20)-IF(C75="x",2)-IF(N14="x",4)+IF(N15="x",4)+IF(N16="x",2)-IF(I91="x",2)+IF(N18="x",4)+IF(C83="x",2)+IF(N21="x",4)+IF(M78="x",4)+IF(M90="x",1)+IF($H$843&gt;0,I6)+_xlfn.IFS($H$843&lt;5,0,$H$843&lt;10,1,$H$843&lt;15,2,$H$843&lt;20,3,$H$843=20,4)+IF(I3&lt;0,I3)</f>
        <v>8</v>
      </c>
      <c r="F24" s="12"/>
      <c r="G24" s="12"/>
      <c r="H24" s="12"/>
      <c r="I24" s="12"/>
      <c r="N24" s="12"/>
    </row>
    <row r="25" spans="1:14" s="15" customFormat="1" x14ac:dyDescent="0.2">
      <c r="A25" s="31"/>
      <c r="B25" s="33"/>
      <c r="C25" s="33"/>
      <c r="D25" s="22"/>
      <c r="E25" s="22"/>
      <c r="F25" s="12"/>
      <c r="G25" s="12"/>
      <c r="H25" s="12"/>
      <c r="I25" s="12"/>
      <c r="N25" s="12"/>
    </row>
    <row r="26" spans="1:14" s="15" customFormat="1" x14ac:dyDescent="0.2">
      <c r="A26" s="26"/>
      <c r="B26" s="27"/>
      <c r="C26" s="27"/>
      <c r="D26" s="27"/>
      <c r="E26" s="26"/>
      <c r="F26" s="27"/>
      <c r="G26" s="27"/>
      <c r="H26" s="27"/>
      <c r="I26" s="27"/>
      <c r="J26" s="26"/>
      <c r="K26" s="26"/>
      <c r="L26" s="26"/>
      <c r="M26" s="26"/>
      <c r="N26" s="27"/>
    </row>
    <row r="27" spans="1:14" s="15" customFormat="1" x14ac:dyDescent="0.2">
      <c r="A27" s="13" t="s">
        <v>169</v>
      </c>
      <c r="B27" s="11" t="s">
        <v>42</v>
      </c>
      <c r="C27" s="11" t="s">
        <v>43</v>
      </c>
      <c r="D27" s="13" t="s">
        <v>432</v>
      </c>
      <c r="E27" s="12"/>
      <c r="F27" s="12"/>
      <c r="G27" s="10" t="s">
        <v>404</v>
      </c>
      <c r="K27" s="12"/>
      <c r="M27" s="34" t="s">
        <v>347</v>
      </c>
      <c r="N27" s="12"/>
    </row>
    <row r="28" spans="1:14" s="15" customFormat="1" x14ac:dyDescent="0.2">
      <c r="A28" s="20" t="s">
        <v>33</v>
      </c>
      <c r="B28" s="21">
        <v>0</v>
      </c>
      <c r="C28" s="18">
        <f>B28+(ABS(G4-I4))-B10-IF(I76="x",1)-IF(I86="x",2)-IF(I90="x",2)+IF(M78="x",1)+IF(M119="x",2)+IF(M105="x",1)+IF(M111="x",2)+IF(M112="x",4)+IF(M108="x",1)-IF(M109="x",1)+IF(M114="x",5)+IF(M88="x",4,0)</f>
        <v>0</v>
      </c>
      <c r="D28" s="35"/>
      <c r="E28" s="36"/>
      <c r="F28" s="12"/>
      <c r="G28" s="37" t="s">
        <v>427</v>
      </c>
      <c r="H28" s="32">
        <v>0</v>
      </c>
      <c r="I28" s="32">
        <v>1</v>
      </c>
      <c r="J28" s="32">
        <v>2</v>
      </c>
      <c r="K28" s="32">
        <v>3</v>
      </c>
      <c r="L28" s="32">
        <v>4</v>
      </c>
      <c r="M28" s="38" t="s">
        <v>348</v>
      </c>
      <c r="N28" s="12">
        <f>B4+IF(C101="x",2)+IF(C119="x",2)</f>
        <v>0</v>
      </c>
    </row>
    <row r="29" spans="1:14" s="15" customFormat="1" x14ac:dyDescent="0.2">
      <c r="A29" s="20" t="s">
        <v>34</v>
      </c>
      <c r="B29" s="21">
        <v>0</v>
      </c>
      <c r="C29" s="18">
        <f>B29+(ABS(G3-I3))-B10-IF(I76="x",1)-IF(I86="x",2)-IF(I90="x",2)+IF(M119="x",2)+IF(M105="x",1)+IF(M111="x",2)+IF(M112="x",4)+IF(M108="x",1)-IF(M109="x",1)+IF(M88="x",4,0)</f>
        <v>0</v>
      </c>
      <c r="D29" s="39"/>
      <c r="E29" s="36"/>
      <c r="F29" s="12"/>
      <c r="G29" s="23" t="s">
        <v>171</v>
      </c>
      <c r="H29" s="12">
        <f>10+_xlfn.IFS(H32="Älykkyys",I5,H32="Viisaus",I6,H32="Karisma",I7)+IF(K32="x",1)</f>
        <v>10</v>
      </c>
      <c r="I29" s="12">
        <f>11+_xlfn.IFS(H32="Älykkyys",I5,H32="Viisaus",I6,H32="Karisma",I7)+IF(K32="x",1)</f>
        <v>11</v>
      </c>
      <c r="J29" s="12">
        <f>12+_xlfn.IFS(H32="Älykkyys",I5,H32="Viisaus",I6,H32="Karisma",I7)+IF(K32="x",1)</f>
        <v>12</v>
      </c>
      <c r="K29" s="12">
        <f>13+_xlfn.IFS(H32="Älykkyys",I5,H32="Viisaus",I6,H32="Karisma",I7)+IF(K32="x",1)</f>
        <v>13</v>
      </c>
      <c r="L29" s="12">
        <f>14+_xlfn.IFS(H32="Älykkyys",I5,H32="Viisaus",I6,H32="Karisma",I7)+IF(K32="x",1)</f>
        <v>14</v>
      </c>
      <c r="N29" s="12"/>
    </row>
    <row r="30" spans="1:14" s="15" customFormat="1" x14ac:dyDescent="0.2">
      <c r="A30" s="20" t="s">
        <v>35</v>
      </c>
      <c r="B30" s="21">
        <v>0</v>
      </c>
      <c r="C30" s="18">
        <f>B30+(ABS(G6-I6))-B10-IF(I76="x",1)-IF(I86="x",2)-IF(I90="x",2)+IF(M80="x",2)+IF(M119="x",2)+IF(M105="x",1)+IF(M110="x",1)+IF(M111="x",2)+IF(M112="x",4)+IF(M89="x",2)+IF(M108="x",1)-IF(M109="x",1)+IF(M88="x",4,0)</f>
        <v>0</v>
      </c>
      <c r="D30" s="35"/>
      <c r="E30" s="21"/>
      <c r="F30" s="12"/>
      <c r="G30" s="37" t="s">
        <v>427</v>
      </c>
      <c r="H30" s="32">
        <v>5</v>
      </c>
      <c r="I30" s="32">
        <v>6</v>
      </c>
      <c r="J30" s="32">
        <v>7</v>
      </c>
      <c r="K30" s="32">
        <v>8</v>
      </c>
      <c r="L30" s="32">
        <v>9</v>
      </c>
      <c r="M30" s="34" t="s">
        <v>349</v>
      </c>
      <c r="N30" s="12"/>
    </row>
    <row r="31" spans="1:14" s="15" customFormat="1" x14ac:dyDescent="0.2">
      <c r="A31" s="23"/>
      <c r="B31" s="40"/>
      <c r="C31" s="41"/>
      <c r="D31" s="42"/>
      <c r="E31" s="40"/>
      <c r="F31" s="12"/>
      <c r="G31" s="23" t="s">
        <v>171</v>
      </c>
      <c r="H31" s="12">
        <f>15+_xlfn.IFS(H32="Älykkyys",I5,H32="Viisaus",I6,H32="Karisma",I7)+IF(K32="x",1)</f>
        <v>15</v>
      </c>
      <c r="I31" s="12">
        <f>16+_xlfn.IFS(H32="Älykkyys",I5,H32="Viisaus",I6,H32="Karisma",I7)+IF(K32="x",1)</f>
        <v>16</v>
      </c>
      <c r="J31" s="12">
        <f>17+_xlfn.IFS(H32="Älykkyys",I5,H32="Viisaus",I6,H32="Karisma",I7)+IF(K32="x",1)</f>
        <v>17</v>
      </c>
      <c r="K31" s="12">
        <f>18+_xlfn.IFS(H32="Älykkyys",I5,H32="Viisaus",I6,H32="Karisma",I7)+IF(K32="x",1)</f>
        <v>18</v>
      </c>
      <c r="L31" s="12">
        <f>19+_xlfn.IFS(H32="Älykkyys",I5,H32="Viisaus",I6,H32="Karisma",I7)+IF(K32="x",1)</f>
        <v>19</v>
      </c>
      <c r="M31" s="38" t="s">
        <v>348</v>
      </c>
      <c r="N31" s="12">
        <f>B4</f>
        <v>0</v>
      </c>
    </row>
    <row r="32" spans="1:14" s="15" customFormat="1" x14ac:dyDescent="0.2">
      <c r="B32" s="12"/>
      <c r="C32" s="12"/>
      <c r="D32" s="12"/>
      <c r="F32" s="43"/>
      <c r="G32" s="165" t="s">
        <v>326</v>
      </c>
      <c r="H32" s="21" t="s">
        <v>37</v>
      </c>
      <c r="J32" s="164" t="s">
        <v>428</v>
      </c>
      <c r="K32" s="44"/>
      <c r="N32" s="12"/>
    </row>
    <row r="34" spans="1:38" x14ac:dyDescent="0.2">
      <c r="A34" s="26"/>
      <c r="B34" s="27"/>
      <c r="C34" s="27"/>
      <c r="D34" s="27"/>
      <c r="E34" s="26"/>
      <c r="F34" s="27"/>
      <c r="G34" s="27"/>
      <c r="H34" s="27"/>
      <c r="I34" s="27"/>
      <c r="J34" s="26"/>
      <c r="K34" s="26"/>
      <c r="L34" s="26"/>
      <c r="M34" s="26"/>
      <c r="N34" s="27"/>
    </row>
    <row r="35" spans="1:38" x14ac:dyDescent="0.2">
      <c r="A35" s="46" t="s">
        <v>337</v>
      </c>
      <c r="B35" s="40"/>
      <c r="C35" s="47"/>
      <c r="D35" s="40"/>
      <c r="E35" s="45"/>
      <c r="F35" s="40"/>
      <c r="G35" s="40"/>
      <c r="H35" s="40"/>
      <c r="I35" s="40"/>
      <c r="J35" s="45"/>
      <c r="K35" s="45"/>
      <c r="M35" s="14" t="s">
        <v>9</v>
      </c>
    </row>
    <row r="36" spans="1:38" x14ac:dyDescent="0.2">
      <c r="A36" s="46"/>
      <c r="B36" s="48"/>
      <c r="C36" s="48"/>
      <c r="D36" s="48"/>
      <c r="E36" s="48"/>
      <c r="F36" s="48"/>
      <c r="G36" s="48"/>
      <c r="H36" s="48"/>
      <c r="I36" s="48"/>
      <c r="J36" s="48"/>
      <c r="K36" s="48"/>
      <c r="M36" s="21"/>
    </row>
    <row r="37" spans="1:38" x14ac:dyDescent="0.2">
      <c r="A37" s="141"/>
      <c r="B37" s="48"/>
      <c r="C37" s="48"/>
      <c r="D37" s="48"/>
      <c r="E37" s="48"/>
      <c r="F37" s="48"/>
      <c r="G37" s="48"/>
      <c r="H37" s="48"/>
      <c r="I37" s="48"/>
      <c r="J37" s="48"/>
      <c r="K37" s="45"/>
    </row>
    <row r="38" spans="1:38" x14ac:dyDescent="0.2">
      <c r="A38" s="42"/>
      <c r="B38" s="41"/>
      <c r="C38" s="66"/>
      <c r="D38" s="41"/>
      <c r="E38" s="66"/>
      <c r="F38" s="40"/>
      <c r="G38" s="40"/>
      <c r="H38" s="41"/>
      <c r="I38" s="41"/>
      <c r="J38" s="41"/>
      <c r="K38" s="50"/>
    </row>
    <row r="39" spans="1:38" x14ac:dyDescent="0.2">
      <c r="A39" s="163"/>
      <c r="B39" s="29"/>
      <c r="C39" s="45"/>
      <c r="D39" s="51"/>
      <c r="E39" s="49"/>
      <c r="F39" s="49"/>
      <c r="G39" s="114"/>
      <c r="H39" s="166"/>
      <c r="I39" s="166"/>
      <c r="J39" s="166"/>
      <c r="K39" s="166"/>
      <c r="M39" s="12"/>
    </row>
    <row r="40" spans="1:38" x14ac:dyDescent="0.2">
      <c r="A40" s="163"/>
      <c r="B40" s="41"/>
      <c r="C40" s="45"/>
      <c r="D40" s="50"/>
      <c r="E40" s="50"/>
      <c r="F40" s="50"/>
      <c r="G40" s="49"/>
      <c r="H40" s="29"/>
      <c r="I40" s="29"/>
      <c r="J40" s="29"/>
      <c r="K40" s="29"/>
    </row>
    <row r="41" spans="1:38" x14ac:dyDescent="0.2">
      <c r="A41" s="59"/>
      <c r="B41" s="59"/>
      <c r="C41" s="59"/>
      <c r="D41" s="59"/>
      <c r="E41" s="59"/>
      <c r="F41" s="59"/>
      <c r="G41" s="59"/>
      <c r="H41" s="59"/>
      <c r="I41" s="59"/>
      <c r="J41" s="59"/>
      <c r="K41" s="59"/>
    </row>
    <row r="42" spans="1:38" x14ac:dyDescent="0.2">
      <c r="A42" s="59"/>
      <c r="B42" s="59"/>
      <c r="C42" s="59"/>
      <c r="D42" s="59"/>
      <c r="E42" s="59"/>
      <c r="F42" s="59"/>
      <c r="G42" s="59"/>
      <c r="H42" s="59"/>
      <c r="I42" s="59"/>
      <c r="J42" s="59"/>
      <c r="K42" s="59"/>
    </row>
    <row r="43" spans="1:38" x14ac:dyDescent="0.2">
      <c r="A43" s="59"/>
      <c r="B43" s="59"/>
      <c r="C43" s="59"/>
      <c r="D43" s="59"/>
      <c r="E43" s="59"/>
      <c r="F43" s="59"/>
      <c r="G43" s="59"/>
      <c r="H43" s="59"/>
      <c r="I43" s="59"/>
      <c r="J43" s="59"/>
      <c r="K43" s="59"/>
      <c r="N43" s="15"/>
    </row>
    <row r="44" spans="1:38" x14ac:dyDescent="0.2">
      <c r="A44" s="59"/>
      <c r="B44" s="59"/>
      <c r="C44" s="59"/>
      <c r="D44" s="59"/>
      <c r="E44" s="59"/>
      <c r="F44" s="59"/>
      <c r="G44" s="59"/>
      <c r="H44" s="59"/>
      <c r="I44" s="59"/>
      <c r="J44" s="59"/>
      <c r="K44" s="59"/>
      <c r="N44" s="15"/>
    </row>
    <row r="45" spans="1:38" x14ac:dyDescent="0.2">
      <c r="A45" s="59"/>
      <c r="B45" s="59"/>
      <c r="C45" s="59"/>
      <c r="D45" s="59"/>
      <c r="E45" s="59"/>
      <c r="F45" s="59"/>
      <c r="G45" s="59"/>
      <c r="H45" s="59"/>
      <c r="I45" s="59"/>
      <c r="J45" s="59"/>
      <c r="K45" s="59"/>
    </row>
    <row r="46" spans="1:38" s="58" customFormat="1" x14ac:dyDescent="0.2">
      <c r="A46" s="59"/>
      <c r="B46" s="59"/>
      <c r="C46" s="59"/>
      <c r="D46" s="59"/>
      <c r="E46" s="59"/>
      <c r="F46" s="59"/>
      <c r="G46" s="59"/>
      <c r="H46" s="59"/>
      <c r="I46" s="59"/>
      <c r="J46" s="59"/>
      <c r="K46" s="59"/>
      <c r="AB46" s="47"/>
      <c r="AC46" s="47"/>
      <c r="AD46" s="47"/>
      <c r="AE46" s="47"/>
      <c r="AF46" s="47"/>
      <c r="AG46" s="47"/>
      <c r="AH46" s="47"/>
      <c r="AI46" s="47"/>
      <c r="AJ46" s="47"/>
      <c r="AK46" s="47"/>
      <c r="AL46" s="47"/>
    </row>
    <row r="47" spans="1:38" s="25" customFormat="1" x14ac:dyDescent="0.2">
      <c r="A47" s="59"/>
      <c r="B47" s="51"/>
      <c r="C47" s="49"/>
      <c r="D47" s="51"/>
      <c r="E47" s="49"/>
      <c r="F47" s="49"/>
      <c r="G47" s="49"/>
      <c r="H47" s="40"/>
      <c r="I47" s="60"/>
      <c r="J47" s="57"/>
      <c r="K47" s="61"/>
      <c r="AB47" s="50"/>
      <c r="AC47" s="50"/>
      <c r="AD47" s="50"/>
      <c r="AE47" s="50"/>
      <c r="AF47" s="50"/>
      <c r="AG47" s="50"/>
      <c r="AH47" s="50"/>
      <c r="AI47" s="50"/>
      <c r="AJ47" s="50"/>
      <c r="AK47" s="50"/>
      <c r="AL47" s="50"/>
    </row>
    <row r="48" spans="1:38" s="25" customFormat="1" x14ac:dyDescent="0.2">
      <c r="A48" s="62"/>
      <c r="B48" s="53"/>
      <c r="C48" s="61"/>
      <c r="D48" s="63"/>
      <c r="E48" s="61"/>
      <c r="F48" s="61"/>
      <c r="G48" s="53"/>
      <c r="H48" s="56"/>
      <c r="I48" s="56"/>
      <c r="J48" s="56"/>
      <c r="K48" s="56"/>
      <c r="AB48" s="50"/>
      <c r="AC48" s="50"/>
      <c r="AD48" s="50"/>
      <c r="AE48" s="50"/>
      <c r="AF48" s="50"/>
      <c r="AG48" s="50"/>
      <c r="AH48" s="50"/>
      <c r="AI48" s="50"/>
      <c r="AJ48" s="50"/>
      <c r="AK48" s="50"/>
      <c r="AL48" s="50"/>
    </row>
    <row r="49" spans="1:38" s="25" customFormat="1" x14ac:dyDescent="0.2">
      <c r="A49" s="59"/>
      <c r="B49" s="51"/>
      <c r="C49" s="61"/>
      <c r="D49" s="63"/>
      <c r="E49" s="61"/>
      <c r="F49" s="61"/>
      <c r="G49" s="49"/>
      <c r="H49" s="56"/>
      <c r="I49" s="56"/>
      <c r="J49" s="56"/>
      <c r="K49" s="56"/>
      <c r="AB49" s="50"/>
      <c r="AC49" s="50"/>
      <c r="AD49" s="50"/>
      <c r="AE49" s="50"/>
      <c r="AF49" s="50"/>
      <c r="AG49" s="50"/>
      <c r="AH49" s="50"/>
      <c r="AI49" s="50"/>
      <c r="AJ49" s="50"/>
      <c r="AK49" s="50"/>
      <c r="AL49" s="50"/>
    </row>
    <row r="50" spans="1:38" x14ac:dyDescent="0.2">
      <c r="A50" s="62"/>
      <c r="B50" s="53"/>
      <c r="C50" s="61"/>
      <c r="D50" s="63"/>
      <c r="E50" s="61"/>
      <c r="F50" s="61"/>
      <c r="G50" s="53"/>
      <c r="H50" s="56"/>
      <c r="I50" s="56"/>
      <c r="J50" s="56"/>
      <c r="K50" s="56"/>
    </row>
    <row r="51" spans="1:38" s="25" customFormat="1" x14ac:dyDescent="0.2">
      <c r="A51" s="59"/>
      <c r="B51" s="51"/>
      <c r="C51" s="61"/>
      <c r="D51" s="63"/>
      <c r="E51" s="61"/>
      <c r="F51" s="61"/>
      <c r="G51" s="49"/>
      <c r="H51" s="57"/>
      <c r="I51" s="57"/>
      <c r="J51" s="57"/>
      <c r="K51" s="57"/>
      <c r="AB51" s="50"/>
      <c r="AC51" s="50"/>
      <c r="AD51" s="50"/>
      <c r="AE51" s="50"/>
      <c r="AF51" s="50"/>
      <c r="AG51" s="50"/>
      <c r="AH51" s="50"/>
      <c r="AI51" s="50"/>
      <c r="AJ51" s="50"/>
      <c r="AK51" s="50"/>
      <c r="AL51" s="50"/>
    </row>
    <row r="52" spans="1:38" s="64" customFormat="1" x14ac:dyDescent="0.2">
      <c r="A52" s="50"/>
      <c r="B52" s="51"/>
      <c r="C52" s="49"/>
      <c r="D52" s="51"/>
      <c r="E52" s="49"/>
      <c r="F52" s="49"/>
      <c r="G52" s="49"/>
      <c r="H52" s="40"/>
      <c r="I52" s="40"/>
      <c r="J52" s="40"/>
      <c r="K52" s="40"/>
      <c r="AB52" s="65"/>
      <c r="AC52" s="65"/>
      <c r="AD52" s="65"/>
      <c r="AE52" s="65"/>
      <c r="AF52" s="65"/>
      <c r="AG52" s="65"/>
      <c r="AH52" s="65"/>
      <c r="AI52" s="65"/>
      <c r="AJ52" s="65"/>
      <c r="AK52" s="65"/>
      <c r="AL52" s="65"/>
    </row>
    <row r="53" spans="1:38" s="64" customFormat="1" x14ac:dyDescent="0.2">
      <c r="A53" s="50"/>
      <c r="B53" s="49"/>
      <c r="C53" s="49"/>
      <c r="D53" s="51"/>
      <c r="E53" s="49"/>
      <c r="F53" s="49"/>
      <c r="G53" s="49"/>
      <c r="H53" s="48"/>
      <c r="I53" s="45"/>
      <c r="J53" s="45"/>
      <c r="K53" s="45"/>
      <c r="N53" s="12"/>
      <c r="AB53" s="65"/>
      <c r="AC53" s="65"/>
      <c r="AD53" s="65"/>
      <c r="AE53" s="65"/>
      <c r="AF53" s="65"/>
      <c r="AG53" s="65"/>
      <c r="AH53" s="65"/>
      <c r="AI53" s="65"/>
      <c r="AJ53" s="65"/>
      <c r="AK53" s="65"/>
      <c r="AL53" s="65"/>
    </row>
    <row r="54" spans="1:38" s="64" customFormat="1" x14ac:dyDescent="0.2">
      <c r="A54" s="46"/>
      <c r="B54" s="48"/>
      <c r="C54" s="48"/>
      <c r="D54" s="48"/>
      <c r="E54" s="48"/>
      <c r="F54" s="48"/>
      <c r="G54" s="48"/>
      <c r="H54" s="48"/>
      <c r="I54" s="48"/>
      <c r="J54" s="48"/>
      <c r="K54" s="48"/>
      <c r="N54" s="58"/>
      <c r="AB54" s="65"/>
      <c r="AC54" s="65"/>
      <c r="AD54" s="65"/>
      <c r="AE54" s="65"/>
      <c r="AF54" s="65"/>
      <c r="AG54" s="65"/>
      <c r="AH54" s="65"/>
      <c r="AI54" s="65"/>
      <c r="AJ54" s="65"/>
      <c r="AK54" s="65"/>
      <c r="AL54" s="65"/>
    </row>
    <row r="55" spans="1:38" x14ac:dyDescent="0.2">
      <c r="A55" s="45"/>
      <c r="B55" s="41"/>
      <c r="C55" s="49"/>
      <c r="D55" s="41"/>
      <c r="E55" s="49"/>
      <c r="F55" s="40"/>
      <c r="G55" s="40"/>
      <c r="H55" s="40"/>
      <c r="I55" s="40"/>
      <c r="J55" s="40"/>
      <c r="K55" s="40"/>
      <c r="N55" s="25"/>
    </row>
    <row r="56" spans="1:38" s="25" customFormat="1" x14ac:dyDescent="0.2">
      <c r="A56" s="50"/>
      <c r="B56" s="51"/>
      <c r="C56" s="49"/>
      <c r="D56" s="51"/>
      <c r="E56" s="49"/>
      <c r="F56" s="49"/>
      <c r="G56" s="49"/>
      <c r="H56" s="48"/>
      <c r="I56" s="48"/>
      <c r="J56" s="48"/>
      <c r="K56" s="48"/>
      <c r="AB56" s="50"/>
      <c r="AC56" s="50"/>
      <c r="AD56" s="50"/>
      <c r="AE56" s="50"/>
      <c r="AF56" s="50"/>
      <c r="AG56" s="50"/>
      <c r="AH56" s="50"/>
      <c r="AI56" s="50"/>
      <c r="AJ56" s="50"/>
      <c r="AK56" s="50"/>
      <c r="AL56" s="50"/>
    </row>
    <row r="57" spans="1:38" s="64" customFormat="1" x14ac:dyDescent="0.2">
      <c r="A57" s="52"/>
      <c r="B57" s="53"/>
      <c r="C57" s="54"/>
      <c r="D57" s="53"/>
      <c r="E57" s="54"/>
      <c r="F57" s="54"/>
      <c r="G57" s="53"/>
      <c r="H57" s="40"/>
      <c r="I57" s="40"/>
      <c r="J57" s="40"/>
      <c r="K57" s="40"/>
      <c r="M57" s="25"/>
      <c r="N57" s="25"/>
      <c r="AB57" s="65"/>
      <c r="AC57" s="65"/>
      <c r="AD57" s="65"/>
      <c r="AE57" s="65"/>
      <c r="AF57" s="65"/>
      <c r="AG57" s="65"/>
      <c r="AH57" s="65"/>
      <c r="AI57" s="65"/>
      <c r="AJ57" s="65"/>
      <c r="AK57" s="65"/>
      <c r="AL57" s="65"/>
    </row>
    <row r="58" spans="1:38" s="64" customFormat="1" x14ac:dyDescent="0.2">
      <c r="A58" s="62"/>
      <c r="B58" s="53"/>
      <c r="C58" s="49"/>
      <c r="D58" s="51"/>
      <c r="E58" s="49"/>
      <c r="F58" s="49"/>
      <c r="G58" s="49"/>
      <c r="H58" s="48"/>
      <c r="I58" s="48"/>
      <c r="J58" s="48"/>
      <c r="K58" s="45"/>
      <c r="M58" s="15"/>
      <c r="N58" s="12"/>
      <c r="AB58" s="65"/>
      <c r="AC58" s="65"/>
      <c r="AD58" s="65"/>
      <c r="AE58" s="65"/>
      <c r="AF58" s="65"/>
      <c r="AG58" s="65"/>
      <c r="AH58" s="65"/>
      <c r="AI58" s="65"/>
      <c r="AJ58" s="65"/>
      <c r="AK58" s="65"/>
      <c r="AL58" s="65"/>
    </row>
    <row r="59" spans="1:38" x14ac:dyDescent="0.2">
      <c r="A59" s="59"/>
      <c r="B59" s="51"/>
      <c r="C59" s="49"/>
      <c r="D59" s="51"/>
      <c r="E59" s="49"/>
      <c r="F59" s="49"/>
      <c r="G59" s="49"/>
      <c r="H59" s="40"/>
      <c r="I59" s="40"/>
      <c r="J59" s="40"/>
      <c r="K59" s="50"/>
      <c r="M59" s="25"/>
      <c r="N59" s="25"/>
    </row>
    <row r="60" spans="1:38" s="25" customFormat="1" x14ac:dyDescent="0.2">
      <c r="A60" s="46"/>
      <c r="B60" s="48"/>
      <c r="C60" s="48"/>
      <c r="D60" s="48"/>
      <c r="E60" s="48"/>
      <c r="F60" s="48"/>
      <c r="G60" s="48"/>
      <c r="H60" s="48"/>
      <c r="I60" s="48"/>
      <c r="J60" s="48"/>
      <c r="K60" s="48"/>
      <c r="AB60" s="50"/>
      <c r="AC60" s="50"/>
      <c r="AD60" s="50"/>
      <c r="AE60" s="50"/>
      <c r="AF60" s="50"/>
      <c r="AG60" s="50"/>
      <c r="AH60" s="50"/>
      <c r="AI60" s="50"/>
      <c r="AJ60" s="50"/>
      <c r="AK60" s="50"/>
      <c r="AL60" s="50"/>
    </row>
    <row r="61" spans="1:38" s="25" customFormat="1" x14ac:dyDescent="0.2">
      <c r="A61" s="59"/>
      <c r="B61" s="51"/>
      <c r="C61" s="49"/>
      <c r="D61" s="51"/>
      <c r="E61" s="49"/>
      <c r="F61" s="49"/>
      <c r="G61" s="49"/>
      <c r="H61" s="40"/>
      <c r="I61" s="66"/>
      <c r="J61" s="66"/>
      <c r="K61" s="66"/>
      <c r="N61" s="64"/>
      <c r="AB61" s="50"/>
      <c r="AC61" s="50"/>
      <c r="AD61" s="50"/>
      <c r="AE61" s="50"/>
      <c r="AF61" s="50"/>
      <c r="AG61" s="50"/>
      <c r="AH61" s="50"/>
      <c r="AI61" s="50"/>
      <c r="AJ61" s="50"/>
      <c r="AK61" s="50"/>
      <c r="AL61" s="50"/>
    </row>
    <row r="62" spans="1:38" s="25" customFormat="1" x14ac:dyDescent="0.2">
      <c r="A62" s="62"/>
      <c r="B62" s="53"/>
      <c r="C62" s="49"/>
      <c r="D62" s="51"/>
      <c r="E62" s="49"/>
      <c r="F62" s="49"/>
      <c r="G62" s="49"/>
      <c r="H62" s="48"/>
      <c r="I62" s="48"/>
      <c r="J62" s="48"/>
      <c r="K62" s="48"/>
      <c r="N62" s="64"/>
      <c r="AB62" s="50"/>
      <c r="AC62" s="50"/>
      <c r="AD62" s="50"/>
      <c r="AE62" s="50"/>
      <c r="AF62" s="50"/>
      <c r="AG62" s="50"/>
      <c r="AH62" s="50"/>
      <c r="AI62" s="50"/>
      <c r="AJ62" s="50"/>
      <c r="AK62" s="50"/>
      <c r="AL62" s="50"/>
    </row>
    <row r="63" spans="1:38" s="25" customFormat="1" x14ac:dyDescent="0.2">
      <c r="A63" s="59"/>
      <c r="B63" s="51"/>
      <c r="C63" s="49"/>
      <c r="D63" s="51"/>
      <c r="E63" s="49"/>
      <c r="F63" s="49"/>
      <c r="G63" s="49"/>
      <c r="H63" s="40"/>
      <c r="I63" s="40"/>
      <c r="J63" s="40"/>
      <c r="K63" s="40"/>
      <c r="N63" s="64"/>
      <c r="AB63" s="50"/>
      <c r="AC63" s="50"/>
      <c r="AD63" s="50"/>
      <c r="AE63" s="50"/>
      <c r="AF63" s="50"/>
      <c r="AG63" s="50"/>
      <c r="AH63" s="50"/>
      <c r="AI63" s="50"/>
      <c r="AJ63" s="50"/>
      <c r="AK63" s="50"/>
      <c r="AL63" s="50"/>
    </row>
    <row r="64" spans="1:38" s="25" customFormat="1" x14ac:dyDescent="0.2">
      <c r="A64" s="62"/>
      <c r="B64" s="53"/>
      <c r="C64" s="49"/>
      <c r="D64" s="51"/>
      <c r="E64" s="49"/>
      <c r="F64" s="49"/>
      <c r="G64" s="49"/>
      <c r="H64" s="48"/>
      <c r="I64" s="48"/>
      <c r="J64" s="45"/>
      <c r="K64" s="45"/>
      <c r="N64" s="12"/>
      <c r="AB64" s="50"/>
      <c r="AC64" s="50"/>
      <c r="AD64" s="50"/>
      <c r="AE64" s="50"/>
      <c r="AF64" s="50"/>
      <c r="AG64" s="50"/>
      <c r="AH64" s="50"/>
      <c r="AI64" s="50"/>
      <c r="AJ64" s="50"/>
      <c r="AK64" s="50"/>
      <c r="AL64" s="50"/>
    </row>
    <row r="65" spans="1:38" s="25" customFormat="1" x14ac:dyDescent="0.2">
      <c r="A65" s="59"/>
      <c r="B65" s="51"/>
      <c r="C65" s="49"/>
      <c r="D65" s="51"/>
      <c r="E65" s="49"/>
      <c r="F65" s="49"/>
      <c r="G65" s="49"/>
      <c r="H65" s="40"/>
      <c r="I65" s="40"/>
      <c r="J65" s="45"/>
      <c r="K65" s="50"/>
      <c r="AB65" s="50"/>
      <c r="AC65" s="50"/>
      <c r="AD65" s="50"/>
      <c r="AE65" s="50"/>
      <c r="AF65" s="50"/>
      <c r="AG65" s="50"/>
      <c r="AH65" s="50"/>
      <c r="AI65" s="50"/>
      <c r="AJ65" s="50"/>
      <c r="AK65" s="50"/>
      <c r="AL65" s="50"/>
    </row>
    <row r="66" spans="1:38" s="25" customFormat="1" x14ac:dyDescent="0.2">
      <c r="A66" s="62"/>
      <c r="B66" s="53"/>
      <c r="C66" s="49"/>
      <c r="D66" s="51"/>
      <c r="E66" s="49"/>
      <c r="F66" s="49"/>
      <c r="G66" s="49"/>
      <c r="H66" s="49"/>
      <c r="I66" s="50"/>
      <c r="J66" s="65"/>
      <c r="K66" s="65"/>
      <c r="N66" s="64"/>
      <c r="AB66" s="50"/>
      <c r="AC66" s="50"/>
      <c r="AD66" s="50"/>
      <c r="AE66" s="50"/>
      <c r="AF66" s="50"/>
      <c r="AG66" s="50"/>
      <c r="AH66" s="50"/>
      <c r="AI66" s="50"/>
      <c r="AJ66" s="50"/>
      <c r="AK66" s="50"/>
      <c r="AL66" s="50"/>
    </row>
    <row r="67" spans="1:38" s="25" customFormat="1" x14ac:dyDescent="0.2">
      <c r="A67" s="59"/>
      <c r="B67" s="51"/>
      <c r="C67" s="49"/>
      <c r="D67" s="51"/>
      <c r="E67" s="49"/>
      <c r="F67" s="49"/>
      <c r="G67" s="49"/>
      <c r="H67" s="49"/>
      <c r="I67" s="40"/>
      <c r="J67" s="65"/>
      <c r="K67" s="65"/>
      <c r="N67" s="64"/>
      <c r="O67" s="15"/>
      <c r="AB67" s="50"/>
      <c r="AC67" s="50"/>
      <c r="AD67" s="50"/>
      <c r="AE67" s="50"/>
      <c r="AF67" s="50"/>
      <c r="AG67" s="50"/>
      <c r="AH67" s="50"/>
      <c r="AI67" s="50"/>
      <c r="AJ67" s="50"/>
      <c r="AK67" s="50"/>
      <c r="AL67" s="50"/>
    </row>
    <row r="68" spans="1:38" s="25" customFormat="1" x14ac:dyDescent="0.2">
      <c r="A68" s="62"/>
      <c r="B68" s="53"/>
      <c r="C68" s="49"/>
      <c r="D68" s="51"/>
      <c r="E68" s="49"/>
      <c r="F68" s="49"/>
      <c r="G68" s="49"/>
      <c r="H68" s="49"/>
      <c r="I68" s="49"/>
      <c r="J68" s="65"/>
      <c r="K68" s="65"/>
      <c r="N68" s="12"/>
      <c r="O68" s="15"/>
      <c r="AB68" s="50"/>
      <c r="AC68" s="50"/>
      <c r="AD68" s="50"/>
      <c r="AE68" s="50"/>
      <c r="AF68" s="50"/>
      <c r="AG68" s="50"/>
      <c r="AH68" s="50"/>
      <c r="AI68" s="50"/>
      <c r="AJ68" s="50"/>
      <c r="AK68" s="50"/>
      <c r="AL68" s="50"/>
    </row>
    <row r="69" spans="1:38" s="25" customFormat="1" x14ac:dyDescent="0.2">
      <c r="A69" s="59"/>
      <c r="B69" s="51"/>
      <c r="C69" s="49"/>
      <c r="D69" s="51"/>
      <c r="E69" s="49"/>
      <c r="F69" s="49"/>
      <c r="G69" s="49"/>
      <c r="H69" s="49"/>
      <c r="I69" s="67"/>
      <c r="J69" s="45"/>
      <c r="K69" s="45"/>
      <c r="O69" s="15"/>
      <c r="AB69" s="50"/>
      <c r="AC69" s="50"/>
      <c r="AD69" s="50"/>
      <c r="AE69" s="50"/>
      <c r="AF69" s="50"/>
      <c r="AG69" s="50"/>
      <c r="AH69" s="50"/>
      <c r="AI69" s="50"/>
      <c r="AJ69" s="50"/>
      <c r="AK69" s="50"/>
      <c r="AL69" s="50"/>
    </row>
    <row r="70" spans="1:38" x14ac:dyDescent="0.2">
      <c r="A70" s="62"/>
      <c r="B70" s="53"/>
      <c r="C70" s="49"/>
      <c r="D70" s="51"/>
      <c r="E70" s="49"/>
      <c r="F70" s="40"/>
      <c r="G70" s="40"/>
      <c r="H70" s="40"/>
      <c r="I70" s="67"/>
      <c r="J70" s="50"/>
      <c r="K70" s="50"/>
      <c r="N70" s="25"/>
    </row>
    <row r="71" spans="1:38" x14ac:dyDescent="0.2">
      <c r="A71" s="68"/>
      <c r="B71" s="66"/>
      <c r="C71" s="69"/>
      <c r="D71" s="69"/>
      <c r="E71" s="69"/>
      <c r="F71" s="70"/>
      <c r="G71" s="49"/>
      <c r="H71" s="48"/>
      <c r="I71" s="45"/>
      <c r="J71" s="45"/>
      <c r="N71" s="25"/>
    </row>
    <row r="72" spans="1:38" x14ac:dyDescent="0.2">
      <c r="A72" s="71"/>
      <c r="B72" s="72"/>
      <c r="C72" s="73"/>
      <c r="D72" s="74"/>
      <c r="E72" s="74"/>
      <c r="F72" s="75"/>
      <c r="G72" s="76"/>
      <c r="H72" s="77"/>
      <c r="I72" s="78"/>
      <c r="J72" s="79"/>
      <c r="K72" s="80"/>
      <c r="L72" s="81"/>
      <c r="M72" s="81"/>
      <c r="N72" s="80"/>
    </row>
    <row r="73" spans="1:38" x14ac:dyDescent="0.2">
      <c r="B73" s="15"/>
      <c r="C73" s="15"/>
      <c r="D73" s="15"/>
      <c r="F73" s="82"/>
      <c r="G73" s="15"/>
      <c r="H73" s="15"/>
      <c r="I73" s="15"/>
      <c r="N73" s="25"/>
    </row>
    <row r="74" spans="1:38" x14ac:dyDescent="0.2">
      <c r="A74" s="10" t="s">
        <v>112</v>
      </c>
      <c r="B74" s="18"/>
      <c r="D74" s="15"/>
      <c r="E74" s="83" t="s">
        <v>117</v>
      </c>
      <c r="F74" s="82"/>
      <c r="G74" s="25"/>
      <c r="H74" s="15"/>
      <c r="J74" s="25"/>
      <c r="K74" s="84" t="s">
        <v>336</v>
      </c>
      <c r="L74" s="25"/>
      <c r="M74" s="25"/>
      <c r="N74" s="25"/>
    </row>
    <row r="75" spans="1:38" x14ac:dyDescent="0.2">
      <c r="A75" s="16" t="s">
        <v>147</v>
      </c>
      <c r="B75" s="15"/>
      <c r="C75" s="28"/>
      <c r="D75" s="15"/>
      <c r="E75" s="16" t="s">
        <v>118</v>
      </c>
      <c r="F75" s="82"/>
      <c r="G75" s="15"/>
      <c r="H75" s="15"/>
      <c r="I75" s="28"/>
      <c r="J75" s="25"/>
      <c r="K75" s="16" t="s">
        <v>176</v>
      </c>
      <c r="M75" s="28"/>
      <c r="N75" s="25"/>
    </row>
    <row r="76" spans="1:38" x14ac:dyDescent="0.2">
      <c r="A76" s="16" t="s">
        <v>17</v>
      </c>
      <c r="B76" s="15"/>
      <c r="C76" s="28"/>
      <c r="D76" s="15"/>
      <c r="E76" s="16" t="s">
        <v>126</v>
      </c>
      <c r="F76" s="25"/>
      <c r="G76" s="15"/>
      <c r="H76" s="15"/>
      <c r="I76" s="28"/>
      <c r="J76" s="25"/>
      <c r="K76" s="16" t="s">
        <v>183</v>
      </c>
      <c r="M76" s="28"/>
      <c r="N76" s="25"/>
    </row>
    <row r="77" spans="1:38" x14ac:dyDescent="0.2">
      <c r="A77" s="16" t="s">
        <v>25</v>
      </c>
      <c r="B77" s="15"/>
      <c r="C77" s="28"/>
      <c r="D77" s="15"/>
      <c r="E77" s="16" t="s">
        <v>127</v>
      </c>
      <c r="F77" s="25"/>
      <c r="G77" s="58"/>
      <c r="H77" s="58"/>
      <c r="I77" s="28"/>
      <c r="J77" s="25"/>
      <c r="K77" s="16" t="s">
        <v>181</v>
      </c>
      <c r="M77" s="17">
        <v>0</v>
      </c>
      <c r="N77" s="25"/>
    </row>
    <row r="78" spans="1:38" x14ac:dyDescent="0.2">
      <c r="A78" s="16" t="s">
        <v>26</v>
      </c>
      <c r="B78" s="15"/>
      <c r="C78" s="28"/>
      <c r="D78" s="15"/>
      <c r="E78" s="16" t="s">
        <v>119</v>
      </c>
      <c r="F78" s="15"/>
      <c r="G78" s="25"/>
      <c r="H78" s="25"/>
      <c r="I78" s="28"/>
      <c r="J78" s="25"/>
      <c r="K78" s="16" t="s">
        <v>184</v>
      </c>
      <c r="M78" s="28"/>
      <c r="N78" s="25"/>
    </row>
    <row r="79" spans="1:38" x14ac:dyDescent="0.2">
      <c r="A79" s="16" t="s">
        <v>27</v>
      </c>
      <c r="B79" s="15"/>
      <c r="C79" s="28"/>
      <c r="D79" s="15"/>
      <c r="E79" s="16" t="s">
        <v>150</v>
      </c>
      <c r="G79" s="25"/>
      <c r="H79" s="25"/>
      <c r="I79" s="28"/>
      <c r="J79" s="25"/>
      <c r="K79" s="16" t="s">
        <v>178</v>
      </c>
      <c r="M79" s="28"/>
      <c r="N79" s="15"/>
    </row>
    <row r="80" spans="1:38" x14ac:dyDescent="0.2">
      <c r="A80" s="16" t="s">
        <v>113</v>
      </c>
      <c r="B80" s="15"/>
      <c r="C80" s="28"/>
      <c r="D80" s="15"/>
      <c r="E80" s="16" t="s">
        <v>160</v>
      </c>
      <c r="F80" s="85"/>
      <c r="G80" s="85"/>
      <c r="H80" s="85"/>
      <c r="I80" s="28"/>
      <c r="J80" s="25"/>
      <c r="K80" s="16" t="s">
        <v>175</v>
      </c>
      <c r="M80" s="28"/>
      <c r="N80" s="15"/>
    </row>
    <row r="81" spans="1:14" s="15" customFormat="1" x14ac:dyDescent="0.2">
      <c r="A81" s="16" t="s">
        <v>21</v>
      </c>
      <c r="C81" s="28"/>
      <c r="E81" s="16" t="s">
        <v>120</v>
      </c>
      <c r="G81" s="25"/>
      <c r="H81" s="25"/>
      <c r="I81" s="28"/>
      <c r="J81" s="25"/>
      <c r="K81" s="16" t="s">
        <v>177</v>
      </c>
      <c r="M81" s="28"/>
    </row>
    <row r="82" spans="1:14" s="15" customFormat="1" x14ac:dyDescent="0.2">
      <c r="A82" s="16" t="s">
        <v>114</v>
      </c>
      <c r="C82" s="28"/>
      <c r="E82" s="16" t="s">
        <v>152</v>
      </c>
      <c r="F82" s="12"/>
      <c r="I82" s="28"/>
      <c r="J82" s="25"/>
    </row>
    <row r="83" spans="1:14" s="15" customFormat="1" x14ac:dyDescent="0.2">
      <c r="A83" s="20" t="s">
        <v>207</v>
      </c>
      <c r="C83" s="28"/>
      <c r="E83" s="16" t="s">
        <v>148</v>
      </c>
      <c r="G83" s="25"/>
      <c r="H83" s="25"/>
      <c r="I83" s="28"/>
      <c r="J83" s="25"/>
      <c r="K83" s="25"/>
      <c r="L83" s="25"/>
      <c r="M83" s="25"/>
    </row>
    <row r="84" spans="1:14" s="15" customFormat="1" x14ac:dyDescent="0.2">
      <c r="A84" s="25"/>
      <c r="B84" s="25"/>
      <c r="C84" s="25"/>
      <c r="D84" s="25"/>
      <c r="E84" s="16" t="s">
        <v>122</v>
      </c>
      <c r="G84" s="64"/>
      <c r="H84" s="64"/>
      <c r="I84" s="28"/>
      <c r="K84" s="83" t="s">
        <v>338</v>
      </c>
    </row>
    <row r="85" spans="1:14" s="15" customFormat="1" x14ac:dyDescent="0.2">
      <c r="A85" s="25"/>
      <c r="B85" s="25"/>
      <c r="C85" s="25"/>
      <c r="D85" s="25"/>
      <c r="E85" s="16" t="s">
        <v>153</v>
      </c>
      <c r="F85" s="12"/>
      <c r="G85" s="64"/>
      <c r="H85" s="64"/>
      <c r="I85" s="28"/>
      <c r="K85" s="16" t="s">
        <v>185</v>
      </c>
      <c r="M85" s="28"/>
    </row>
    <row r="86" spans="1:14" s="15" customFormat="1" x14ac:dyDescent="0.2">
      <c r="A86" s="10" t="s">
        <v>11</v>
      </c>
      <c r="B86" s="86"/>
      <c r="C86" s="87"/>
      <c r="D86" s="25"/>
      <c r="E86" s="16" t="s">
        <v>123</v>
      </c>
      <c r="G86" s="64"/>
      <c r="H86" s="64"/>
      <c r="I86" s="28"/>
      <c r="K86" s="16" t="s">
        <v>237</v>
      </c>
      <c r="M86" s="28"/>
    </row>
    <row r="87" spans="1:14" s="15" customFormat="1" x14ac:dyDescent="0.2">
      <c r="A87" s="16" t="s">
        <v>346</v>
      </c>
      <c r="C87" s="28"/>
      <c r="E87" s="16" t="s">
        <v>116</v>
      </c>
      <c r="I87" s="28"/>
      <c r="K87" s="16" t="s">
        <v>387</v>
      </c>
      <c r="M87" s="28"/>
    </row>
    <row r="88" spans="1:14" s="15" customFormat="1" x14ac:dyDescent="0.2">
      <c r="A88" s="16" t="s">
        <v>350</v>
      </c>
      <c r="C88" s="28"/>
      <c r="E88" s="16" t="s">
        <v>161</v>
      </c>
      <c r="F88" s="25"/>
      <c r="G88" s="25"/>
      <c r="H88" s="25"/>
      <c r="I88" s="28"/>
      <c r="K88" s="16" t="s">
        <v>386</v>
      </c>
      <c r="M88" s="28"/>
    </row>
    <row r="89" spans="1:14" s="15" customFormat="1" x14ac:dyDescent="0.2">
      <c r="A89" s="16" t="s">
        <v>202</v>
      </c>
      <c r="C89" s="28"/>
      <c r="E89" s="16" t="s">
        <v>151</v>
      </c>
      <c r="G89" s="25"/>
      <c r="H89" s="25"/>
      <c r="I89" s="28"/>
      <c r="K89" s="16" t="s">
        <v>194</v>
      </c>
      <c r="M89" s="28"/>
    </row>
    <row r="90" spans="1:14" s="15" customFormat="1" x14ac:dyDescent="0.2">
      <c r="A90" s="16" t="s">
        <v>209</v>
      </c>
      <c r="C90" s="28"/>
      <c r="E90" s="16" t="s">
        <v>136</v>
      </c>
      <c r="G90" s="64"/>
      <c r="H90" s="64"/>
      <c r="I90" s="28"/>
      <c r="K90" s="16" t="s">
        <v>199</v>
      </c>
      <c r="M90" s="28"/>
      <c r="N90" s="12"/>
    </row>
    <row r="91" spans="1:14" s="15" customFormat="1" x14ac:dyDescent="0.2">
      <c r="A91" s="16" t="s">
        <v>211</v>
      </c>
      <c r="C91" s="28"/>
      <c r="E91" s="16" t="s">
        <v>149</v>
      </c>
      <c r="G91" s="64"/>
      <c r="H91" s="64"/>
      <c r="I91" s="28"/>
      <c r="K91" s="16" t="s">
        <v>170</v>
      </c>
      <c r="M91" s="28"/>
      <c r="N91" s="12"/>
    </row>
    <row r="92" spans="1:14" s="15" customFormat="1" x14ac:dyDescent="0.2">
      <c r="A92" s="16" t="s">
        <v>351</v>
      </c>
      <c r="B92" s="12"/>
      <c r="C92" s="28"/>
      <c r="E92" s="16" t="s">
        <v>124</v>
      </c>
      <c r="F92" s="25"/>
      <c r="I92" s="28"/>
      <c r="K92" s="16" t="s">
        <v>28</v>
      </c>
      <c r="M92" s="28"/>
      <c r="N92" s="12"/>
    </row>
    <row r="93" spans="1:14" s="15" customFormat="1" x14ac:dyDescent="0.2">
      <c r="A93" s="16" t="s">
        <v>352</v>
      </c>
      <c r="C93" s="28"/>
      <c r="I93" s="25"/>
      <c r="J93" s="25"/>
      <c r="K93" s="16" t="s">
        <v>385</v>
      </c>
      <c r="M93" s="28"/>
      <c r="N93" s="12"/>
    </row>
    <row r="94" spans="1:14" s="15" customFormat="1" x14ac:dyDescent="0.2">
      <c r="A94" s="16" t="s">
        <v>353</v>
      </c>
      <c r="B94" s="12"/>
      <c r="C94" s="28"/>
      <c r="I94" s="25"/>
      <c r="K94" s="16" t="s">
        <v>377</v>
      </c>
      <c r="M94" s="17">
        <v>0</v>
      </c>
      <c r="N94" s="12"/>
    </row>
    <row r="95" spans="1:14" s="15" customFormat="1" x14ac:dyDescent="0.2">
      <c r="A95" s="16" t="s">
        <v>212</v>
      </c>
      <c r="C95" s="28"/>
      <c r="D95" s="12"/>
      <c r="E95" s="34" t="s">
        <v>163</v>
      </c>
      <c r="F95" s="25"/>
      <c r="G95" s="25"/>
      <c r="H95" s="12"/>
      <c r="I95" s="25"/>
      <c r="K95" s="16" t="s">
        <v>188</v>
      </c>
      <c r="M95" s="28"/>
      <c r="N95" s="12"/>
    </row>
    <row r="96" spans="1:14" s="15" customFormat="1" x14ac:dyDescent="0.2">
      <c r="A96" s="16" t="s">
        <v>355</v>
      </c>
      <c r="C96" s="28"/>
      <c r="D96" s="12"/>
      <c r="E96" s="13" t="s">
        <v>159</v>
      </c>
      <c r="F96" s="64"/>
      <c r="G96" s="12"/>
      <c r="H96" s="88">
        <v>0</v>
      </c>
      <c r="I96" s="25"/>
      <c r="K96" s="16" t="s">
        <v>29</v>
      </c>
      <c r="M96" s="28"/>
      <c r="N96" s="12"/>
    </row>
    <row r="97" spans="1:14" s="15" customFormat="1" x14ac:dyDescent="0.2">
      <c r="A97" s="16" t="s">
        <v>206</v>
      </c>
      <c r="C97" s="28"/>
      <c r="D97" s="12"/>
      <c r="E97" s="23" t="s">
        <v>417</v>
      </c>
      <c r="F97" s="64"/>
      <c r="G97" s="12"/>
      <c r="H97" s="21">
        <v>0</v>
      </c>
      <c r="I97" s="25"/>
      <c r="K97" s="16" t="s">
        <v>166</v>
      </c>
      <c r="L97" s="85"/>
      <c r="M97" s="28"/>
      <c r="N97" s="12"/>
    </row>
    <row r="98" spans="1:14" s="15" customFormat="1" x14ac:dyDescent="0.2">
      <c r="A98" s="16" t="s">
        <v>227</v>
      </c>
      <c r="B98" s="12"/>
      <c r="C98" s="28"/>
      <c r="D98" s="12"/>
      <c r="E98" s="20" t="s">
        <v>50</v>
      </c>
      <c r="F98" s="64"/>
      <c r="G98" s="12"/>
      <c r="H98" s="12" t="str">
        <f>IF(I4&lt;=G4,"0",B2*ABS(G4-I4))</f>
        <v>0</v>
      </c>
      <c r="I98" s="12"/>
      <c r="K98" s="16" t="s">
        <v>424</v>
      </c>
      <c r="M98" s="28"/>
      <c r="N98" s="12"/>
    </row>
    <row r="99" spans="1:14" s="15" customFormat="1" x14ac:dyDescent="0.2">
      <c r="A99" s="16" t="s">
        <v>356</v>
      </c>
      <c r="B99" s="12"/>
      <c r="C99" s="28"/>
      <c r="D99" s="12"/>
      <c r="E99" s="20" t="s">
        <v>162</v>
      </c>
      <c r="F99" s="12"/>
      <c r="G99" s="12"/>
      <c r="H99" s="21">
        <v>0</v>
      </c>
      <c r="I99" s="12"/>
      <c r="K99" s="16" t="s">
        <v>198</v>
      </c>
      <c r="M99" s="28"/>
      <c r="N99" s="12"/>
    </row>
    <row r="100" spans="1:14" s="15" customFormat="1" x14ac:dyDescent="0.2">
      <c r="A100" s="16" t="s">
        <v>230</v>
      </c>
      <c r="B100" s="12"/>
      <c r="C100" s="28"/>
      <c r="D100" s="12"/>
      <c r="E100" s="23" t="s">
        <v>168</v>
      </c>
      <c r="F100" s="25"/>
      <c r="G100" s="12"/>
      <c r="H100" s="12">
        <f>-IF(G4&lt;=I4,"0",B2*ABS(G4-I4))</f>
        <v>0</v>
      </c>
      <c r="I100" s="12"/>
      <c r="K100" s="16" t="s">
        <v>164</v>
      </c>
      <c r="M100" s="28"/>
      <c r="N100" s="12"/>
    </row>
    <row r="101" spans="1:14" s="15" customFormat="1" x14ac:dyDescent="0.2">
      <c r="A101" s="16" t="s">
        <v>358</v>
      </c>
      <c r="C101" s="28"/>
      <c r="D101" s="12"/>
      <c r="E101" s="23" t="s">
        <v>51</v>
      </c>
      <c r="F101" s="64"/>
      <c r="G101" s="12"/>
      <c r="H101" s="12">
        <f>IF(H96-H97+H98+H100&lt;=B2,B2,H96-H97+H98+H99+H100)</f>
        <v>0</v>
      </c>
      <c r="I101" s="12"/>
      <c r="K101" s="16" t="s">
        <v>174</v>
      </c>
      <c r="M101" s="28"/>
      <c r="N101" s="12"/>
    </row>
    <row r="102" spans="1:14" s="15" customFormat="1" x14ac:dyDescent="0.2">
      <c r="A102" s="16" t="s">
        <v>360</v>
      </c>
      <c r="B102" s="12"/>
      <c r="C102" s="28"/>
      <c r="D102" s="12"/>
      <c r="E102" s="20" t="s">
        <v>46</v>
      </c>
      <c r="F102" s="89"/>
      <c r="G102" s="90"/>
      <c r="H102" s="12">
        <f>-B10*5</f>
        <v>0</v>
      </c>
      <c r="I102" s="12"/>
      <c r="K102" s="16" t="s">
        <v>165</v>
      </c>
      <c r="M102" s="28"/>
      <c r="N102" s="12"/>
    </row>
    <row r="103" spans="1:14" s="15" customFormat="1" x14ac:dyDescent="0.2">
      <c r="A103" s="16" t="s">
        <v>22</v>
      </c>
      <c r="C103" s="28"/>
      <c r="D103" s="12"/>
      <c r="E103" s="91" t="s">
        <v>376</v>
      </c>
      <c r="F103" s="12"/>
      <c r="G103" s="12"/>
      <c r="H103" s="92">
        <f>SUM(H101+H102)</f>
        <v>0</v>
      </c>
      <c r="I103" s="12"/>
      <c r="K103" s="16" t="s">
        <v>80</v>
      </c>
      <c r="M103" s="28"/>
      <c r="N103" s="12"/>
    </row>
    <row r="104" spans="1:14" s="15" customFormat="1" x14ac:dyDescent="0.2">
      <c r="A104" s="16" t="s">
        <v>361</v>
      </c>
      <c r="B104" s="12"/>
      <c r="C104" s="28"/>
      <c r="D104" s="25"/>
      <c r="E104" s="93" t="s">
        <v>418</v>
      </c>
      <c r="F104" s="25"/>
      <c r="G104" s="12"/>
      <c r="H104" s="94">
        <v>0</v>
      </c>
      <c r="I104" s="25"/>
      <c r="K104" s="16" t="s">
        <v>204</v>
      </c>
      <c r="M104" s="28"/>
      <c r="N104" s="12"/>
    </row>
    <row r="105" spans="1:14" s="15" customFormat="1" x14ac:dyDescent="0.2">
      <c r="A105" s="16" t="s">
        <v>226</v>
      </c>
      <c r="B105" s="12"/>
      <c r="C105" s="28"/>
      <c r="D105" s="12"/>
      <c r="E105" s="43" t="s">
        <v>381</v>
      </c>
      <c r="F105" s="25"/>
      <c r="G105" s="12"/>
      <c r="H105" s="95" t="str">
        <f>IF(H104=0,"–",H103-H104)</f>
        <v>–</v>
      </c>
      <c r="I105" s="25"/>
      <c r="K105" s="16" t="s">
        <v>190</v>
      </c>
      <c r="M105" s="28"/>
      <c r="N105" s="12"/>
    </row>
    <row r="106" spans="1:14" s="15" customFormat="1" x14ac:dyDescent="0.2">
      <c r="A106" s="16" t="s">
        <v>362</v>
      </c>
      <c r="B106" s="12"/>
      <c r="C106" s="28"/>
      <c r="D106" s="12"/>
      <c r="F106" s="12"/>
      <c r="G106" s="12"/>
      <c r="H106" s="12"/>
      <c r="K106" s="16" t="s">
        <v>203</v>
      </c>
      <c r="M106" s="17">
        <v>0</v>
      </c>
      <c r="N106" s="12"/>
    </row>
    <row r="107" spans="1:14" s="15" customFormat="1" x14ac:dyDescent="0.2">
      <c r="A107" s="16" t="s">
        <v>363</v>
      </c>
      <c r="B107" s="12"/>
      <c r="C107" s="28"/>
      <c r="D107" s="12"/>
      <c r="F107" s="12"/>
      <c r="G107" s="12"/>
      <c r="H107" s="12"/>
      <c r="K107" s="16" t="s">
        <v>167</v>
      </c>
      <c r="M107" s="28"/>
      <c r="N107" s="25"/>
    </row>
    <row r="108" spans="1:14" s="15" customFormat="1" x14ac:dyDescent="0.2">
      <c r="A108" s="16" t="s">
        <v>232</v>
      </c>
      <c r="B108" s="12"/>
      <c r="C108" s="28"/>
      <c r="D108" s="12"/>
      <c r="E108" s="96" t="s">
        <v>131</v>
      </c>
      <c r="F108" s="85"/>
      <c r="G108" s="25"/>
      <c r="H108" s="12"/>
      <c r="K108" s="16" t="s">
        <v>195</v>
      </c>
      <c r="M108" s="28"/>
      <c r="N108" s="25"/>
    </row>
    <row r="109" spans="1:14" s="15" customFormat="1" x14ac:dyDescent="0.2">
      <c r="A109" s="16" t="s">
        <v>213</v>
      </c>
      <c r="B109" s="12"/>
      <c r="C109" s="28"/>
      <c r="D109" s="12"/>
      <c r="E109" s="83" t="s">
        <v>134</v>
      </c>
      <c r="F109" s="85"/>
      <c r="G109" s="64"/>
      <c r="H109" s="12"/>
      <c r="K109" s="16" t="s">
        <v>196</v>
      </c>
      <c r="M109" s="28"/>
      <c r="N109" s="12"/>
    </row>
    <row r="110" spans="1:14" s="15" customFormat="1" x14ac:dyDescent="0.2">
      <c r="A110" s="16" t="s">
        <v>364</v>
      </c>
      <c r="B110" s="12"/>
      <c r="C110" s="28"/>
      <c r="D110" s="12"/>
      <c r="E110" s="85" t="s">
        <v>132</v>
      </c>
      <c r="F110" s="64"/>
      <c r="G110" s="97">
        <f>C2</f>
        <v>0</v>
      </c>
      <c r="H110" s="12"/>
      <c r="I110" s="12"/>
      <c r="K110" s="16" t="s">
        <v>191</v>
      </c>
      <c r="M110" s="28"/>
      <c r="N110" s="12"/>
    </row>
    <row r="111" spans="1:14" s="15" customFormat="1" x14ac:dyDescent="0.2">
      <c r="A111" s="16" t="s">
        <v>365</v>
      </c>
      <c r="B111" s="12"/>
      <c r="C111" s="28"/>
      <c r="D111" s="12"/>
      <c r="E111" s="85" t="s">
        <v>133</v>
      </c>
      <c r="F111" s="64"/>
      <c r="G111" s="98">
        <f>C2*2</f>
        <v>0</v>
      </c>
      <c r="H111" s="12"/>
      <c r="I111" s="12"/>
      <c r="K111" s="16" t="s">
        <v>192</v>
      </c>
      <c r="M111" s="28"/>
      <c r="N111" s="12"/>
    </row>
    <row r="112" spans="1:14" s="15" customFormat="1" x14ac:dyDescent="0.2">
      <c r="A112" s="16" t="s">
        <v>208</v>
      </c>
      <c r="C112" s="17">
        <v>0</v>
      </c>
      <c r="D112" s="12"/>
      <c r="E112" s="83" t="s">
        <v>135</v>
      </c>
      <c r="G112" s="98"/>
      <c r="H112" s="12"/>
      <c r="I112" s="12"/>
      <c r="K112" s="16" t="s">
        <v>193</v>
      </c>
      <c r="M112" s="28"/>
      <c r="N112" s="12"/>
    </row>
    <row r="113" spans="1:38" x14ac:dyDescent="0.2">
      <c r="A113" s="16" t="s">
        <v>366</v>
      </c>
      <c r="C113" s="28"/>
      <c r="E113" s="85" t="s">
        <v>144</v>
      </c>
      <c r="F113" s="25"/>
      <c r="G113" s="97">
        <f>C2</f>
        <v>0</v>
      </c>
      <c r="H113" s="25"/>
      <c r="K113" s="16" t="s">
        <v>186</v>
      </c>
      <c r="M113" s="28"/>
      <c r="N113" s="15"/>
      <c r="AB113" s="15"/>
      <c r="AC113" s="15"/>
      <c r="AD113" s="15"/>
      <c r="AE113" s="15"/>
      <c r="AF113" s="15"/>
      <c r="AG113" s="15"/>
      <c r="AH113" s="15"/>
      <c r="AI113" s="15"/>
      <c r="AJ113" s="15"/>
      <c r="AK113" s="15"/>
      <c r="AL113" s="15"/>
    </row>
    <row r="114" spans="1:38" x14ac:dyDescent="0.2">
      <c r="A114" s="16" t="s">
        <v>367</v>
      </c>
      <c r="C114" s="28"/>
      <c r="E114" s="83" t="s">
        <v>40</v>
      </c>
      <c r="F114" s="64"/>
      <c r="G114" s="98"/>
      <c r="H114" s="25"/>
      <c r="K114" s="16" t="s">
        <v>197</v>
      </c>
      <c r="M114" s="28"/>
      <c r="N114" s="15"/>
      <c r="AB114" s="15"/>
      <c r="AC114" s="15"/>
      <c r="AD114" s="15"/>
      <c r="AE114" s="15"/>
      <c r="AF114" s="15"/>
      <c r="AG114" s="15"/>
      <c r="AH114" s="15"/>
      <c r="AI114" s="15"/>
      <c r="AJ114" s="15"/>
      <c r="AK114" s="15"/>
      <c r="AL114" s="15"/>
    </row>
    <row r="115" spans="1:38" x14ac:dyDescent="0.2">
      <c r="A115" s="16" t="s">
        <v>368</v>
      </c>
      <c r="C115" s="28"/>
      <c r="E115" s="85" t="s">
        <v>132</v>
      </c>
      <c r="F115" s="64"/>
      <c r="G115" s="98">
        <v>1</v>
      </c>
      <c r="K115" s="16" t="s">
        <v>172</v>
      </c>
      <c r="M115" s="28"/>
      <c r="N115" s="15"/>
      <c r="AB115" s="15"/>
      <c r="AC115" s="15"/>
      <c r="AD115" s="15"/>
      <c r="AE115" s="15"/>
      <c r="AF115" s="15"/>
      <c r="AG115" s="15"/>
      <c r="AH115" s="15"/>
      <c r="AI115" s="15"/>
      <c r="AJ115" s="15"/>
      <c r="AK115" s="15"/>
      <c r="AL115" s="15"/>
    </row>
    <row r="116" spans="1:38" x14ac:dyDescent="0.2">
      <c r="A116" s="16" t="s">
        <v>370</v>
      </c>
      <c r="C116" s="28"/>
      <c r="E116" s="85" t="s">
        <v>133</v>
      </c>
      <c r="F116" s="15"/>
      <c r="G116" s="12">
        <v>2</v>
      </c>
      <c r="K116" s="16" t="s">
        <v>205</v>
      </c>
      <c r="M116" s="17">
        <v>0</v>
      </c>
      <c r="N116" s="15"/>
      <c r="AB116" s="15"/>
      <c r="AC116" s="15"/>
      <c r="AD116" s="15"/>
      <c r="AE116" s="15"/>
      <c r="AF116" s="15"/>
      <c r="AG116" s="15"/>
      <c r="AH116" s="15"/>
      <c r="AI116" s="15"/>
      <c r="AJ116" s="15"/>
      <c r="AK116" s="15"/>
      <c r="AL116" s="15"/>
    </row>
    <row r="117" spans="1:38" x14ac:dyDescent="0.2">
      <c r="A117" s="16" t="s">
        <v>369</v>
      </c>
      <c r="C117" s="28"/>
      <c r="F117" s="25"/>
      <c r="K117" s="16" t="s">
        <v>339</v>
      </c>
      <c r="M117" s="28"/>
      <c r="N117" s="15"/>
      <c r="AB117" s="15"/>
      <c r="AC117" s="15"/>
      <c r="AD117" s="15"/>
      <c r="AE117" s="15"/>
      <c r="AF117" s="15"/>
      <c r="AG117" s="15"/>
      <c r="AH117" s="15"/>
      <c r="AI117" s="15"/>
      <c r="AJ117" s="15"/>
      <c r="AK117" s="15"/>
      <c r="AL117" s="15"/>
    </row>
    <row r="118" spans="1:38" x14ac:dyDescent="0.2">
      <c r="A118" s="16" t="s">
        <v>210</v>
      </c>
      <c r="B118" s="15"/>
      <c r="C118" s="28"/>
      <c r="F118" s="25"/>
      <c r="K118" s="16" t="s">
        <v>340</v>
      </c>
      <c r="M118" s="17">
        <v>0</v>
      </c>
      <c r="N118" s="15"/>
      <c r="AB118" s="15"/>
      <c r="AC118" s="15"/>
      <c r="AD118" s="15"/>
      <c r="AE118" s="15"/>
      <c r="AF118" s="15"/>
      <c r="AG118" s="15"/>
      <c r="AH118" s="15"/>
      <c r="AI118" s="15"/>
      <c r="AJ118" s="15"/>
      <c r="AK118" s="15"/>
      <c r="AL118" s="15"/>
    </row>
    <row r="119" spans="1:38" x14ac:dyDescent="0.2">
      <c r="A119" s="16" t="s">
        <v>359</v>
      </c>
      <c r="B119" s="15"/>
      <c r="C119" s="28"/>
      <c r="F119" s="15"/>
      <c r="G119" s="15"/>
      <c r="K119" s="16" t="s">
        <v>189</v>
      </c>
      <c r="M119" s="28"/>
      <c r="N119" s="15"/>
      <c r="AB119" s="15"/>
      <c r="AC119" s="15"/>
      <c r="AD119" s="15"/>
      <c r="AE119" s="15"/>
      <c r="AF119" s="15"/>
      <c r="AG119" s="15"/>
      <c r="AH119" s="15"/>
      <c r="AI119" s="15"/>
      <c r="AJ119" s="15"/>
      <c r="AK119" s="15"/>
      <c r="AL119" s="15"/>
    </row>
    <row r="120" spans="1:38" x14ac:dyDescent="0.2">
      <c r="A120" s="16" t="s">
        <v>4</v>
      </c>
      <c r="B120" s="15"/>
      <c r="C120" s="17">
        <v>0</v>
      </c>
      <c r="F120" s="15"/>
      <c r="G120" s="15"/>
      <c r="K120" s="16" t="s">
        <v>187</v>
      </c>
      <c r="M120" s="28"/>
      <c r="N120" s="15"/>
      <c r="AB120" s="15"/>
      <c r="AC120" s="15"/>
      <c r="AD120" s="15"/>
      <c r="AE120" s="15"/>
      <c r="AF120" s="15"/>
      <c r="AG120" s="15"/>
      <c r="AH120" s="15"/>
      <c r="AI120" s="15"/>
      <c r="AJ120" s="15"/>
      <c r="AK120" s="15"/>
      <c r="AL120" s="15"/>
    </row>
    <row r="121" spans="1:38" x14ac:dyDescent="0.2">
      <c r="A121" s="81"/>
      <c r="B121" s="90"/>
      <c r="C121" s="80"/>
      <c r="D121" s="90"/>
      <c r="E121" s="81"/>
      <c r="F121" s="81"/>
      <c r="G121" s="81"/>
      <c r="H121" s="90"/>
      <c r="I121" s="90"/>
      <c r="J121" s="81"/>
      <c r="K121" s="81"/>
      <c r="L121" s="81"/>
      <c r="M121" s="81"/>
      <c r="N121" s="81"/>
      <c r="AB121" s="15"/>
      <c r="AC121" s="15"/>
      <c r="AD121" s="15"/>
      <c r="AE121" s="15"/>
      <c r="AF121" s="15"/>
      <c r="AG121" s="15"/>
      <c r="AH121" s="15"/>
      <c r="AI121" s="15"/>
      <c r="AJ121" s="15"/>
      <c r="AK121" s="15"/>
      <c r="AL121" s="15"/>
    </row>
    <row r="122" spans="1:38" x14ac:dyDescent="0.2">
      <c r="C122" s="25"/>
      <c r="F122" s="15"/>
      <c r="G122" s="15"/>
      <c r="N122" s="15"/>
      <c r="AB122" s="15"/>
      <c r="AC122" s="15"/>
      <c r="AD122" s="15"/>
      <c r="AE122" s="15"/>
      <c r="AF122" s="15"/>
      <c r="AG122" s="15"/>
      <c r="AH122" s="15"/>
      <c r="AI122" s="15"/>
      <c r="AJ122" s="15"/>
      <c r="AK122" s="15"/>
      <c r="AL122" s="15"/>
    </row>
    <row r="123" spans="1:38" x14ac:dyDescent="0.2">
      <c r="A123" s="34" t="s">
        <v>416</v>
      </c>
      <c r="B123" s="99" t="s">
        <v>378</v>
      </c>
      <c r="C123" s="99" t="s">
        <v>394</v>
      </c>
      <c r="D123" s="99" t="s">
        <v>384</v>
      </c>
      <c r="E123" s="99" t="s">
        <v>395</v>
      </c>
      <c r="F123" s="99" t="s">
        <v>396</v>
      </c>
      <c r="G123" s="99" t="s">
        <v>397</v>
      </c>
      <c r="H123" s="99" t="s">
        <v>398</v>
      </c>
      <c r="I123" s="100" t="s">
        <v>383</v>
      </c>
      <c r="J123" s="100" t="s">
        <v>382</v>
      </c>
      <c r="L123" s="34" t="s">
        <v>140</v>
      </c>
      <c r="M123" s="12"/>
      <c r="N123" s="15"/>
      <c r="AB123" s="15"/>
      <c r="AC123" s="15"/>
      <c r="AD123" s="15"/>
      <c r="AE123" s="15"/>
      <c r="AF123" s="15"/>
      <c r="AG123" s="15"/>
      <c r="AH123" s="15"/>
      <c r="AI123" s="15"/>
      <c r="AJ123" s="15"/>
      <c r="AK123" s="15"/>
      <c r="AL123" s="15"/>
    </row>
    <row r="124" spans="1:38" x14ac:dyDescent="0.2">
      <c r="A124" s="15" t="s">
        <v>390</v>
      </c>
      <c r="B124" s="101">
        <f>IF(H2&lt;1,0,IF(H2=1,3,IF(H2=2,6,IF(H2=3,10,IF(H2=4,13,IF(H2=5,16,IF(H2=6,20,IF(H2=7,23,IF(H2=8,26,IF(H2=9,30,
IF(H2=10,33,IF(H2=11,38,IF(H2=12,43,IF(H2=13,50,IF(H2=14,58,IF(H2=15,66,IF(H2=16,76,IF(H2=17,86,IF(H2=18,100,IF(H2=19,116,
IF(H2=20,133,IF(H2=21,153,IF(H2=22,173,IF(H2=23,200,IF(H2=24,233,IF(H2=25,266,IF(H2=26,306,IF(H2=27,346,IF(H2=28,400,IF(H2=29,466,
IF(H2=30,532,IF(H2=31,612,IF(H2=32,692,IF(H2=33,800,IF(H2=34,932,IF(H2=35,932,IF(H2=36,1224,IF(H2=37,1384,IF(H2=38,1600,IF(H2=39,1864,
IF(H2=40,2128,IF(H2=41,2448,IF(H2=42,2768,IF(H2=43,3200,IF(H2=44,3728,IF(H2=45,4256,IF(H2=46,4896,IF(H2=47,5536,IF(H2=48,6400,IF(H2=49,7456,
IF(H2=50,8512,IF(H2=51,9792))))))))))))))))))))))))))))))))))))))))))))))))))))</f>
        <v>33</v>
      </c>
      <c r="C124" s="101">
        <f t="shared" ref="C124:C129" si="2">INT(B124*0.75)</f>
        <v>24</v>
      </c>
      <c r="D124" s="101">
        <f t="shared" ref="D124:D129" si="3">INT(B124*2)</f>
        <v>66</v>
      </c>
      <c r="E124" s="101">
        <f t="shared" ref="E124:E129" si="4">INT(B124/8)</f>
        <v>4</v>
      </c>
      <c r="F124" s="101">
        <f t="shared" ref="F124:F129" si="5">INT(B124/4)</f>
        <v>8</v>
      </c>
      <c r="G124" s="101">
        <f t="shared" ref="G124:G129" si="6">INT(B124/2)</f>
        <v>16</v>
      </c>
      <c r="H124" s="101">
        <f t="shared" ref="H124:H129" si="7">INT(B124*4)</f>
        <v>132</v>
      </c>
      <c r="I124" s="101">
        <f t="shared" ref="I124:I129" si="8">INT(B124*8)</f>
        <v>264</v>
      </c>
      <c r="J124" s="101">
        <f t="shared" ref="J124:J129" si="9">INT(B124*16)</f>
        <v>528</v>
      </c>
      <c r="L124" s="10" t="s">
        <v>402</v>
      </c>
      <c r="M124" s="12"/>
      <c r="N124" s="11"/>
      <c r="AB124" s="15"/>
      <c r="AC124" s="15"/>
      <c r="AD124" s="15"/>
      <c r="AE124" s="15"/>
      <c r="AF124" s="15"/>
      <c r="AG124" s="15"/>
      <c r="AH124" s="15"/>
      <c r="AI124" s="15"/>
      <c r="AJ124" s="15"/>
      <c r="AK124" s="15"/>
      <c r="AL124" s="15"/>
    </row>
    <row r="125" spans="1:38" x14ac:dyDescent="0.2">
      <c r="A125" s="15" t="s">
        <v>391</v>
      </c>
      <c r="B125" s="101">
        <f>IF(H2&lt;1,0,IF(H2=0,0,IF(H2=1,6,IF(H2=2,13,IF(H2=3,20,IF(H2=4,26,IF(H2=5,33,IF(H2=6,40,IF(H2=7,46,IF(H2=8,53,IF(H2=9,60,
IF(H2=10,66,IF(H2=11,76,IF(H2=12,86,IF(H2=13,100,IF(H2=14,116,IF(H2=15,133,IF(H2=16,153,IF(H2=17,173,IF(H2=18,200,IF(H2=19,233,
IF(H2=20,266,IF(H2=21,306,IF(H2=22,346,IF(H2=23,400,IF(H2=24,466,IF(H2=25,533,IF(H2=26,613,IF(H2=27,693,IF(H2=28,800,IF(H2=29,933,
IF(H2=30,1064,IF(H2=31,1224,IF(H2=32,1384,IF(H2=33,1600,IF(H2=34,1864,IF(H2=35,2132,IF(H2=36,2452,IF(H2=37,2772,IF(H2=38,3200,IF(H2=39,3732,
IF(H2=40,4256,IF(H2=41,4896,IF(H2=42,5536,IF(H2=43,6400,IF(H2=44,7456,IF(H2=45,8528,IF(H2=46,9808,IF(H2=47,11088,IF(H2=48,12800,IF(H2=49,14928,
IF(H2=50,17024,IF(H2=51,19584)))))))))))))))))))))))))))))))))))))))))))))))))))))</f>
        <v>66</v>
      </c>
      <c r="C125" s="101">
        <f t="shared" si="2"/>
        <v>49</v>
      </c>
      <c r="D125" s="101">
        <f t="shared" si="3"/>
        <v>132</v>
      </c>
      <c r="E125" s="101">
        <f t="shared" si="4"/>
        <v>8</v>
      </c>
      <c r="F125" s="101">
        <f t="shared" si="5"/>
        <v>16</v>
      </c>
      <c r="G125" s="101">
        <f t="shared" si="6"/>
        <v>33</v>
      </c>
      <c r="H125" s="101">
        <f t="shared" si="7"/>
        <v>264</v>
      </c>
      <c r="I125" s="101">
        <f t="shared" si="8"/>
        <v>528</v>
      </c>
      <c r="J125" s="101">
        <f t="shared" si="9"/>
        <v>1056</v>
      </c>
      <c r="L125" s="85" t="s">
        <v>142</v>
      </c>
      <c r="N125" s="102">
        <f>C9</f>
        <v>30</v>
      </c>
      <c r="AB125" s="15"/>
      <c r="AC125" s="15"/>
      <c r="AD125" s="15"/>
      <c r="AE125" s="15"/>
      <c r="AF125" s="15"/>
      <c r="AG125" s="15"/>
      <c r="AH125" s="15"/>
      <c r="AI125" s="15"/>
      <c r="AJ125" s="15"/>
      <c r="AK125" s="15"/>
      <c r="AL125" s="15"/>
    </row>
    <row r="126" spans="1:38" x14ac:dyDescent="0.2">
      <c r="A126" s="15" t="s">
        <v>392</v>
      </c>
      <c r="B126" s="101">
        <f>IF(H2&lt;1,0,IF(H2=0,0,IF(H2=1,10,IF(H2=2,20,IF(H2=3,30,IF(H2=4,40,IF(H2=5,50,IF(H2=6,60,IF(H2=7,70,IF(H2=8,80,IF(H2=9,90,
IF(H2=10,100,IF(H2=11,115,IF(H2=12,130,IF(H2=13,150,IF(H2=14,175,IF(H2=15,200,IF(H2=16,230,IF(H2=17,260,IF(H2=18,300,IF(H2=19,350,
IF(H2=20,400,IF(H2=21,460,IF(H2=22,520,IF(H2=23,600,IF(H2=24,700,IF(H2=25,800,IF(H2=26,920,IF(H2=27,1040,IF(H2=28,1200,IF(H2=29,1400,
IF(H2=30,1600,IF(H2=31,1840,IF(H2=32,2080,IF(H2=33,2400,IF(H2=34,2800,IF(H2=35,3200,IF(H2=36,3680,IF(H2=37,4161,IF(H2=38,4800,IF(H2=39,5600,
IF(H2=40,6400,IF(H2=41,7360,IF(H2=42,8320,IF(H2=43,9600,IF(H2=44,11200,IF(H2=45,12600,IF(H2=46,14720,IF(H2=47,16640,IF(H2=48,19200,IF(H2=49,22400,
IF(H2=50,25600,IF(H2=51,29440)))))))))))))))))))))))))))))))))))))))))))))))))))))</f>
        <v>100</v>
      </c>
      <c r="C126" s="101">
        <f t="shared" si="2"/>
        <v>75</v>
      </c>
      <c r="D126" s="101">
        <f t="shared" si="3"/>
        <v>200</v>
      </c>
      <c r="E126" s="101">
        <f t="shared" si="4"/>
        <v>12</v>
      </c>
      <c r="F126" s="101">
        <f t="shared" si="5"/>
        <v>25</v>
      </c>
      <c r="G126" s="101">
        <f t="shared" si="6"/>
        <v>50</v>
      </c>
      <c r="H126" s="101">
        <f t="shared" si="7"/>
        <v>400</v>
      </c>
      <c r="I126" s="101">
        <f t="shared" si="8"/>
        <v>800</v>
      </c>
      <c r="J126" s="101">
        <f t="shared" si="9"/>
        <v>1600</v>
      </c>
      <c r="L126" s="85" t="s">
        <v>138</v>
      </c>
      <c r="N126" s="103">
        <f>IF(C95="x",N125*5,N125*4)</f>
        <v>120</v>
      </c>
      <c r="AB126" s="15"/>
      <c r="AC126" s="15"/>
      <c r="AD126" s="15"/>
      <c r="AE126" s="15"/>
      <c r="AF126" s="15"/>
      <c r="AG126" s="15"/>
      <c r="AH126" s="15"/>
      <c r="AI126" s="15"/>
      <c r="AJ126" s="15"/>
      <c r="AK126" s="15"/>
      <c r="AL126" s="15"/>
    </row>
    <row r="127" spans="1:38" x14ac:dyDescent="0.2">
      <c r="A127" s="31" t="s">
        <v>400</v>
      </c>
      <c r="B127" s="104">
        <f>B126</f>
        <v>100</v>
      </c>
      <c r="C127" s="104">
        <f t="shared" si="2"/>
        <v>75</v>
      </c>
      <c r="D127" s="104">
        <f t="shared" si="3"/>
        <v>200</v>
      </c>
      <c r="E127" s="104">
        <f t="shared" si="4"/>
        <v>12</v>
      </c>
      <c r="F127" s="104">
        <f t="shared" si="5"/>
        <v>25</v>
      </c>
      <c r="G127" s="104">
        <f t="shared" si="6"/>
        <v>50</v>
      </c>
      <c r="H127" s="104">
        <f t="shared" si="7"/>
        <v>400</v>
      </c>
      <c r="I127" s="104">
        <f t="shared" si="8"/>
        <v>800</v>
      </c>
      <c r="J127" s="104">
        <f t="shared" si="9"/>
        <v>1600</v>
      </c>
      <c r="L127" s="85" t="s">
        <v>137</v>
      </c>
      <c r="N127" s="103">
        <f>IF(C95="x",N125*4,N125*3)</f>
        <v>90</v>
      </c>
      <c r="AB127" s="15"/>
      <c r="AC127" s="15"/>
      <c r="AD127" s="15"/>
      <c r="AE127" s="15"/>
      <c r="AF127" s="15"/>
      <c r="AG127" s="15"/>
      <c r="AH127" s="15"/>
      <c r="AI127" s="15"/>
      <c r="AJ127" s="15"/>
      <c r="AK127" s="15"/>
      <c r="AL127" s="15"/>
    </row>
    <row r="128" spans="1:38" x14ac:dyDescent="0.2">
      <c r="A128" s="31" t="s">
        <v>401</v>
      </c>
      <c r="B128" s="104">
        <f>B126*2</f>
        <v>200</v>
      </c>
      <c r="C128" s="104">
        <f t="shared" si="2"/>
        <v>150</v>
      </c>
      <c r="D128" s="104">
        <f t="shared" si="3"/>
        <v>400</v>
      </c>
      <c r="E128" s="104">
        <f t="shared" si="4"/>
        <v>25</v>
      </c>
      <c r="F128" s="104">
        <f t="shared" si="5"/>
        <v>50</v>
      </c>
      <c r="G128" s="104">
        <f t="shared" si="6"/>
        <v>100</v>
      </c>
      <c r="H128" s="104">
        <f t="shared" si="7"/>
        <v>800</v>
      </c>
      <c r="I128" s="104">
        <f t="shared" si="8"/>
        <v>1600</v>
      </c>
      <c r="J128" s="104">
        <f t="shared" si="9"/>
        <v>3200</v>
      </c>
      <c r="L128" s="83" t="s">
        <v>403</v>
      </c>
      <c r="N128" s="103"/>
      <c r="AB128" s="15"/>
      <c r="AC128" s="15"/>
      <c r="AD128" s="15"/>
      <c r="AE128" s="15"/>
      <c r="AF128" s="15"/>
      <c r="AG128" s="15"/>
      <c r="AH128" s="15"/>
      <c r="AI128" s="15"/>
      <c r="AJ128" s="15"/>
      <c r="AK128" s="15"/>
      <c r="AL128" s="15"/>
    </row>
    <row r="129" spans="1:38" x14ac:dyDescent="0.2">
      <c r="A129" s="31" t="s">
        <v>393</v>
      </c>
      <c r="B129" s="104">
        <f>B126*5</f>
        <v>500</v>
      </c>
      <c r="C129" s="104">
        <f t="shared" si="2"/>
        <v>375</v>
      </c>
      <c r="D129" s="104">
        <f t="shared" si="3"/>
        <v>1000</v>
      </c>
      <c r="E129" s="104">
        <f t="shared" si="4"/>
        <v>62</v>
      </c>
      <c r="F129" s="104">
        <f t="shared" si="5"/>
        <v>125</v>
      </c>
      <c r="G129" s="104">
        <f t="shared" si="6"/>
        <v>250</v>
      </c>
      <c r="H129" s="104">
        <f t="shared" si="7"/>
        <v>2000</v>
      </c>
      <c r="I129" s="104">
        <f t="shared" si="8"/>
        <v>4000</v>
      </c>
      <c r="J129" s="104">
        <f t="shared" si="9"/>
        <v>8000</v>
      </c>
      <c r="L129" s="85" t="s">
        <v>141</v>
      </c>
      <c r="N129" s="103">
        <f>N125*10</f>
        <v>300</v>
      </c>
      <c r="AB129" s="15"/>
      <c r="AC129" s="15"/>
      <c r="AD129" s="15"/>
      <c r="AE129" s="15"/>
      <c r="AF129" s="15"/>
      <c r="AG129" s="15"/>
      <c r="AH129" s="15"/>
      <c r="AI129" s="15"/>
      <c r="AJ129" s="15"/>
      <c r="AK129" s="15"/>
      <c r="AL129" s="15"/>
    </row>
    <row r="130" spans="1:38" x14ac:dyDescent="0.2">
      <c r="A130" s="30" t="s">
        <v>399</v>
      </c>
      <c r="B130" s="99" t="s">
        <v>378</v>
      </c>
      <c r="C130" s="99" t="s">
        <v>394</v>
      </c>
      <c r="D130" s="99" t="s">
        <v>384</v>
      </c>
      <c r="E130" s="99" t="s">
        <v>395</v>
      </c>
      <c r="F130" s="99" t="s">
        <v>396</v>
      </c>
      <c r="G130" s="99" t="s">
        <v>397</v>
      </c>
      <c r="H130" s="99" t="s">
        <v>398</v>
      </c>
      <c r="I130" s="100" t="s">
        <v>383</v>
      </c>
      <c r="J130" s="100" t="s">
        <v>382</v>
      </c>
      <c r="L130" s="85" t="s">
        <v>143</v>
      </c>
      <c r="N130" s="103">
        <f>N125*20</f>
        <v>600</v>
      </c>
    </row>
    <row r="131" spans="1:38" x14ac:dyDescent="0.2">
      <c r="A131" s="15" t="s">
        <v>390</v>
      </c>
      <c r="B131" s="105">
        <f t="shared" ref="B131:B136" si="10">INT(C131*1.5)</f>
        <v>49</v>
      </c>
      <c r="C131" s="105">
        <f>IF(H2&lt;1,0,IF(H2=1,3,IF(H2=2,6,IF(H2=3,10,IF(H2=4,13,IF(H2=5,16,IF(H2=6,20,IF(H2=7,23,IF(H2=8,26,IF(H2=9,30,
IF(H2=10,33,IF(H2=11,38,IF(H2=12,43,IF(H2=13,50,IF(H2=14,58,IF(H2=15,66,IF(H2=16,76,IF(H2=17,86,IF(H2=18,100,IF(H2=19,116,
IF(H2=20,133,IF(H2=21,153,IF(H2=22,173,IF(H2=23,200,IF(H2=24,233,IF(H2=25,266,IF(H2=26,306,IF(H2=27,346,IF(H2=28,400,IF(H2=29,466,
IF(H2=30,532,IF(H2=31,612,IF(H2=32,692,IF(H2=33,800,IF(H2=34,932,IF(H2=35,932,IF(H2=36,1224,IF(H2=37,1384,IF(H2=38,1600,IF(H2=39,1864,
IF(H2=40,2128,IF(H2=41,2448,IF(H2=42,2768,IF(H2=43,3200,IF(H2=44,3728,IF(H2=45,4256,IF(H2=46,4896,IF(H2=47,5536,IF(H2=48,6400,IF(H2=49,7456,
IF(H2=50,8512,IF(H2=51,9792))))))))))))))))))))))))))))))))))))))))))))))))))))</f>
        <v>33</v>
      </c>
      <c r="D131" s="105">
        <f t="shared" ref="D131:D136" si="11">INT(C131*3)</f>
        <v>99</v>
      </c>
      <c r="E131" s="101">
        <f t="shared" ref="E131:E136" si="12">INT(C131/4)</f>
        <v>8</v>
      </c>
      <c r="F131" s="105">
        <f t="shared" ref="F131:F136" si="13">INT(C131/2)</f>
        <v>16</v>
      </c>
      <c r="G131" s="105">
        <f t="shared" ref="G131:G136" si="14">INT(C131*0.75)</f>
        <v>24</v>
      </c>
      <c r="H131" s="105">
        <f t="shared" ref="H131:H136" si="15">INT(C131*6)</f>
        <v>198</v>
      </c>
      <c r="I131" s="105">
        <f t="shared" ref="I131:I136" si="16">INT(C131*12)</f>
        <v>396</v>
      </c>
      <c r="J131" s="105">
        <f t="shared" ref="J131:J136" si="17">INT(C131*24)</f>
        <v>792</v>
      </c>
      <c r="L131" s="85" t="s">
        <v>138</v>
      </c>
      <c r="N131" s="103">
        <f>N125*40</f>
        <v>1200</v>
      </c>
    </row>
    <row r="132" spans="1:38" s="25" customFormat="1" x14ac:dyDescent="0.2">
      <c r="A132" s="15" t="s">
        <v>391</v>
      </c>
      <c r="B132" s="105">
        <f t="shared" si="10"/>
        <v>99</v>
      </c>
      <c r="C132" s="105">
        <f>IF(H2&lt;1,0,IF(H2=0,0,IF(H2=1,6,IF(H2=2,13,IF(H2=3,20,IF(H2=4,26,IF(H2=5,33,IF(H2=6,40,IF(H2=7,46,IF(H2=8,53,IF(H2=9,60,
IF(H2=10,66,IF(H2=11,76,IF(H2=12,86,IF(H2=13,100,IF(H2=14,116,IF(H2=15,133,IF(H2=16,153,IF(H2=17,173,IF(H2=18,200,IF(H2=19,233,
IF(H2=20,266,IF(H2=21,306,IF(H2=22,346,IF(H2=23,400,IF(H2=24,466,IF(H2=25,533,IF(H2=26,613,IF(H2=27,693,IF(H2=28,800,IF(H2=29,933,
IF(H2=30,1064,IF(H2=31,1224,IF(H2=32,1384,IF(H2=33,1600,IF(H2=34,1864,IF(H2=35,2132,IF(H2=36,2452,IF(H2=37,2772,IF(H2=38,3200,IF(H2=39,3732,
IF(H2=40,4256,IF(H2=41,4896,IF(H2=42,5536,IF(H2=43,6400,IF(H2=44,7456,IF(H2=45,8528,IF(H2=46,9808,IF(H2=47,11088,IF(H2=48,12800,IF(H2=49,14928,
IF(H2=50,17024,IF(H2=51,19584)))))))))))))))))))))))))))))))))))))))))))))))))))))</f>
        <v>66</v>
      </c>
      <c r="D132" s="105">
        <f t="shared" si="11"/>
        <v>198</v>
      </c>
      <c r="E132" s="101">
        <f t="shared" si="12"/>
        <v>16</v>
      </c>
      <c r="F132" s="105">
        <f t="shared" si="13"/>
        <v>33</v>
      </c>
      <c r="G132" s="105">
        <f t="shared" si="14"/>
        <v>49</v>
      </c>
      <c r="H132" s="105">
        <f t="shared" si="15"/>
        <v>396</v>
      </c>
      <c r="I132" s="105">
        <f t="shared" si="16"/>
        <v>792</v>
      </c>
      <c r="J132" s="105">
        <f t="shared" si="17"/>
        <v>1584</v>
      </c>
      <c r="L132" s="85" t="s">
        <v>137</v>
      </c>
      <c r="M132" s="15"/>
      <c r="N132" s="106">
        <f>N125*30</f>
        <v>900</v>
      </c>
      <c r="AB132" s="50"/>
      <c r="AC132" s="50"/>
      <c r="AD132" s="50"/>
      <c r="AE132" s="50"/>
      <c r="AF132" s="50"/>
      <c r="AG132" s="50"/>
      <c r="AH132" s="50"/>
      <c r="AI132" s="50"/>
      <c r="AJ132" s="50"/>
      <c r="AK132" s="50"/>
      <c r="AL132" s="50"/>
    </row>
    <row r="133" spans="1:38" x14ac:dyDescent="0.2">
      <c r="A133" s="15" t="s">
        <v>392</v>
      </c>
      <c r="B133" s="105">
        <f t="shared" si="10"/>
        <v>150</v>
      </c>
      <c r="C133" s="105">
        <f>IF(H2&lt;1,0,IF(H2=0,0,IF(H2=1,10,IF(H2=2,20,IF(H2=3,30,IF(H2=4,40,IF(H2=5,50,IF(H2=6,60,IF(H2=7,70,IF(H2=8,80,IF(H2=9,90,
IF(H2=10,100,IF(H2=11,115,IF(H2=12,130,IF(H2=13,150,IF(H2=14,175,IF(H2=15,200,IF(H2=16,230,IF(H2=17,260,IF(H2=18,300,IF(H2=19,350,
IF(H2=20,400,IF(H2=21,460,IF(H2=22,520,IF(H2=23,600,IF(H2=24,700,IF(H2=25,800,IF(H2=26,920,IF(H2=27,1040,IF(H2=28,1200,IF(H2=29,1400,
IF(H2=30,1600,IF(H2=31,1840,IF(H2=32,2080,IF(H2=33,2400,IF(H2=34,2800,IF(H2=35,3200,IF(H2=36,3680,IF(H2=37,4161,IF(H2=38,4800,IF(H2=39,5600,
IF(H2=40,6400,IF(H2=41,7360,IF(H2=42,8320,IF(H2=43,9600,IF(H2=44,11200,IF(H2=45,12600,IF(H2=46,14720,IF(H2=47,16640,IF(H2=48,19200,IF(H2=49,22400,
IF(H2=50,25600,IF(H2=51,29440)))))))))))))))))))))))))))))))))))))))))))))))))))))</f>
        <v>100</v>
      </c>
      <c r="D133" s="105">
        <f t="shared" si="11"/>
        <v>300</v>
      </c>
      <c r="E133" s="101">
        <f t="shared" si="12"/>
        <v>25</v>
      </c>
      <c r="F133" s="105">
        <f t="shared" si="13"/>
        <v>50</v>
      </c>
      <c r="G133" s="105">
        <f t="shared" si="14"/>
        <v>75</v>
      </c>
      <c r="H133" s="105">
        <f t="shared" si="15"/>
        <v>600</v>
      </c>
      <c r="I133" s="105">
        <f t="shared" si="16"/>
        <v>1200</v>
      </c>
      <c r="J133" s="105">
        <f t="shared" si="17"/>
        <v>2400</v>
      </c>
      <c r="L133" s="83" t="s">
        <v>157</v>
      </c>
      <c r="N133" s="106"/>
    </row>
    <row r="134" spans="1:38" x14ac:dyDescent="0.2">
      <c r="A134" s="31" t="s">
        <v>400</v>
      </c>
      <c r="B134" s="107">
        <f t="shared" si="10"/>
        <v>150</v>
      </c>
      <c r="C134" s="104">
        <f>C133</f>
        <v>100</v>
      </c>
      <c r="D134" s="107">
        <f t="shared" si="11"/>
        <v>300</v>
      </c>
      <c r="E134" s="104">
        <f t="shared" si="12"/>
        <v>25</v>
      </c>
      <c r="F134" s="107">
        <f t="shared" si="13"/>
        <v>50</v>
      </c>
      <c r="G134" s="107">
        <f t="shared" si="14"/>
        <v>75</v>
      </c>
      <c r="H134" s="107">
        <f t="shared" si="15"/>
        <v>600</v>
      </c>
      <c r="I134" s="107">
        <f t="shared" si="16"/>
        <v>1200</v>
      </c>
      <c r="J134" s="107">
        <f t="shared" si="17"/>
        <v>2400</v>
      </c>
      <c r="L134" s="85" t="s">
        <v>141</v>
      </c>
      <c r="N134" s="103">
        <f>N125*0.1</f>
        <v>3</v>
      </c>
    </row>
    <row r="135" spans="1:38" x14ac:dyDescent="0.2">
      <c r="A135" s="31" t="s">
        <v>401</v>
      </c>
      <c r="B135" s="107">
        <f t="shared" si="10"/>
        <v>300</v>
      </c>
      <c r="C135" s="104">
        <f>C133*2</f>
        <v>200</v>
      </c>
      <c r="D135" s="107">
        <f t="shared" si="11"/>
        <v>600</v>
      </c>
      <c r="E135" s="104">
        <f t="shared" si="12"/>
        <v>50</v>
      </c>
      <c r="F135" s="107">
        <f t="shared" si="13"/>
        <v>100</v>
      </c>
      <c r="G135" s="107">
        <f t="shared" si="14"/>
        <v>150</v>
      </c>
      <c r="H135" s="107">
        <f t="shared" si="15"/>
        <v>1200</v>
      </c>
      <c r="I135" s="107">
        <f t="shared" si="16"/>
        <v>2400</v>
      </c>
      <c r="J135" s="107">
        <f t="shared" si="17"/>
        <v>4800</v>
      </c>
      <c r="L135" s="85" t="s">
        <v>143</v>
      </c>
      <c r="N135" s="103">
        <f>N125*0.2</f>
        <v>6</v>
      </c>
    </row>
    <row r="136" spans="1:38" x14ac:dyDescent="0.2">
      <c r="A136" s="31" t="s">
        <v>393</v>
      </c>
      <c r="B136" s="107">
        <f t="shared" si="10"/>
        <v>750</v>
      </c>
      <c r="C136" s="104">
        <f>C133*5</f>
        <v>500</v>
      </c>
      <c r="D136" s="107">
        <f t="shared" si="11"/>
        <v>1500</v>
      </c>
      <c r="E136" s="104">
        <f t="shared" si="12"/>
        <v>125</v>
      </c>
      <c r="F136" s="107">
        <f t="shared" si="13"/>
        <v>250</v>
      </c>
      <c r="G136" s="107">
        <f t="shared" si="14"/>
        <v>375</v>
      </c>
      <c r="H136" s="107">
        <f t="shared" si="15"/>
        <v>3000</v>
      </c>
      <c r="I136" s="107">
        <f t="shared" si="16"/>
        <v>6000</v>
      </c>
      <c r="J136" s="107">
        <f t="shared" si="17"/>
        <v>12000</v>
      </c>
      <c r="L136" s="83" t="s">
        <v>158</v>
      </c>
      <c r="N136" s="108"/>
    </row>
    <row r="137" spans="1:38" x14ac:dyDescent="0.2">
      <c r="A137" s="109"/>
      <c r="B137" s="110"/>
      <c r="C137" s="109"/>
      <c r="D137" s="110"/>
      <c r="E137" s="109"/>
      <c r="F137" s="110"/>
      <c r="G137" s="110"/>
      <c r="H137" s="110"/>
      <c r="I137" s="110"/>
      <c r="J137" s="109"/>
      <c r="K137" s="109"/>
      <c r="L137" s="111" t="s">
        <v>141</v>
      </c>
      <c r="M137" s="109"/>
      <c r="N137" s="112">
        <f>N125*0.8</f>
        <v>24</v>
      </c>
    </row>
    <row r="138" spans="1:38" x14ac:dyDescent="0.2">
      <c r="A138" s="81"/>
      <c r="B138" s="90"/>
      <c r="C138" s="90"/>
      <c r="D138" s="90"/>
      <c r="E138" s="81"/>
      <c r="F138" s="90"/>
      <c r="G138" s="90"/>
      <c r="H138" s="90"/>
      <c r="I138" s="90"/>
      <c r="J138" s="81"/>
      <c r="K138" s="81"/>
      <c r="L138" s="81"/>
      <c r="M138" s="81"/>
      <c r="N138" s="90"/>
      <c r="AB138" s="46"/>
    </row>
    <row r="139" spans="1:38" x14ac:dyDescent="0.2">
      <c r="AB139" s="46"/>
      <c r="AC139" s="48"/>
      <c r="AD139" s="48"/>
      <c r="AE139" s="48"/>
      <c r="AF139" s="48"/>
      <c r="AG139" s="48"/>
      <c r="AH139" s="48"/>
      <c r="AI139" s="48"/>
      <c r="AJ139" s="48"/>
      <c r="AK139" s="48"/>
      <c r="AL139" s="48"/>
    </row>
    <row r="140" spans="1:38" x14ac:dyDescent="0.2">
      <c r="A140" s="96" t="s">
        <v>52</v>
      </c>
      <c r="B140" s="11" t="s">
        <v>106</v>
      </c>
      <c r="C140" s="11" t="s">
        <v>105</v>
      </c>
      <c r="D140" s="11" t="s">
        <v>107</v>
      </c>
      <c r="E140" s="11" t="s">
        <v>130</v>
      </c>
      <c r="F140" s="14" t="s">
        <v>354</v>
      </c>
      <c r="G140" s="13" t="s">
        <v>139</v>
      </c>
      <c r="I140" s="15"/>
      <c r="J140" s="48" t="s">
        <v>335</v>
      </c>
      <c r="L140" s="34" t="s">
        <v>333</v>
      </c>
      <c r="M140" s="11" t="s">
        <v>334</v>
      </c>
      <c r="N140" s="11" t="s">
        <v>335</v>
      </c>
      <c r="O140" s="10"/>
      <c r="P140" s="10"/>
      <c r="AC140" s="40"/>
      <c r="AD140" s="49"/>
      <c r="AE140" s="41"/>
      <c r="AF140" s="49"/>
      <c r="AG140" s="40"/>
      <c r="AH140" s="40"/>
      <c r="AI140" s="40"/>
      <c r="AJ140" s="40"/>
      <c r="AK140" s="40"/>
      <c r="AL140" s="40"/>
    </row>
    <row r="141" spans="1:38" x14ac:dyDescent="0.2">
      <c r="A141" s="20" t="s">
        <v>53</v>
      </c>
      <c r="B141" s="40">
        <f>C141+D141+E141-F141+J141-IF(I76="x",1)+IF(M119="x",2)+IF(M111="x",2)+IF(M112="x",4)+IF(M108="x",1)-IF(M109="x",1)-B10+IF(C102="x",2)</f>
        <v>0</v>
      </c>
      <c r="C141" s="17">
        <v>0</v>
      </c>
      <c r="D141" s="12">
        <f>I6</f>
        <v>0</v>
      </c>
      <c r="E141" s="17">
        <v>0</v>
      </c>
      <c r="G141" s="42"/>
      <c r="H141" s="40"/>
      <c r="I141" s="40"/>
      <c r="J141" s="17">
        <v>0</v>
      </c>
      <c r="L141" s="15" t="s">
        <v>31</v>
      </c>
      <c r="M141" s="12">
        <f>I2-IF(I76="x",1)-IF(I77="x",2)-IF(I86="x",2)-IF(I90="x",2)+IF(M119="x",2)-B10+N141</f>
        <v>0</v>
      </c>
      <c r="N141" s="17">
        <v>0</v>
      </c>
      <c r="AB141" s="47"/>
      <c r="AC141" s="113"/>
      <c r="AD141" s="114"/>
      <c r="AE141" s="113"/>
      <c r="AF141" s="114"/>
      <c r="AG141" s="114"/>
      <c r="AH141" s="114"/>
      <c r="AI141" s="48"/>
      <c r="AJ141" s="48"/>
      <c r="AK141" s="48"/>
      <c r="AL141" s="48"/>
    </row>
    <row r="142" spans="1:38" x14ac:dyDescent="0.2">
      <c r="A142" s="20" t="s">
        <v>54</v>
      </c>
      <c r="B142" s="40" t="str">
        <f>IF(C142=0,"",C142+D142+E142+F142+J142-IF(I76="x",1)+IF(C173&gt;=5,2)+IF(M119="x",2)+IF(M111="x",2)+IF(M112="x",4)+IF(M108="x",1)-IF(M109="x",1)-B10+IF(C99="x",2))</f>
        <v/>
      </c>
      <c r="C142" s="17">
        <v>0</v>
      </c>
      <c r="D142" s="12">
        <f>I3</f>
        <v>0</v>
      </c>
      <c r="E142" s="17">
        <v>0</v>
      </c>
      <c r="F142" s="17">
        <v>0</v>
      </c>
      <c r="G142" s="42"/>
      <c r="H142" s="40"/>
      <c r="I142" s="40"/>
      <c r="J142" s="17">
        <v>0</v>
      </c>
      <c r="L142" s="15" t="s">
        <v>30</v>
      </c>
      <c r="M142" s="12">
        <f>I3-IF(I76="x",1)-IF(I77="x",2)-IF(I86="x",2)-IF(I90="x",2)+IF(M119="x",2)-B10+N142</f>
        <v>0</v>
      </c>
      <c r="N142" s="17">
        <v>0</v>
      </c>
      <c r="AB142" s="50"/>
      <c r="AC142" s="51"/>
      <c r="AD142" s="49"/>
      <c r="AE142" s="51"/>
      <c r="AF142" s="49"/>
      <c r="AG142" s="49"/>
      <c r="AH142" s="49"/>
      <c r="AI142" s="40"/>
      <c r="AJ142" s="40"/>
      <c r="AK142" s="40"/>
      <c r="AL142" s="40"/>
    </row>
    <row r="143" spans="1:38" x14ac:dyDescent="0.2">
      <c r="A143" s="20" t="s">
        <v>68</v>
      </c>
      <c r="B143" s="40" t="str">
        <f>IF(C143=0,"",C143+D143+E143-F143+J143-IF(I76="x",1)+IF(M119="x",2)+IF(M111="x",2)+IF(M112="x",4)+IF(M108="x",1)-IF(M109="x",1)-B10)</f>
        <v/>
      </c>
      <c r="C143" s="17">
        <v>0</v>
      </c>
      <c r="D143" s="12">
        <f>I6</f>
        <v>0</v>
      </c>
      <c r="E143" s="17">
        <v>0</v>
      </c>
      <c r="G143" s="42"/>
      <c r="H143" s="40"/>
      <c r="I143" s="40"/>
      <c r="J143" s="17">
        <v>0</v>
      </c>
      <c r="L143" s="15" t="s">
        <v>32</v>
      </c>
      <c r="M143" s="12">
        <f>I4-IF(I76="x",1)-IF(I77="x",2)-IF(I86="x",2)-IF(I90="x",2)+IF(M119="x",2)-B10+N143</f>
        <v>0</v>
      </c>
      <c r="N143" s="17">
        <v>0</v>
      </c>
      <c r="O143" s="15" t="str">
        <f>IF(C94="x","+4 juoksemisen jatkaminen, hengityksen pidättely, pikamarssista selviäminen, nälän ja janon kestäminen","")</f>
        <v/>
      </c>
      <c r="AB143" s="50"/>
      <c r="AC143" s="49"/>
      <c r="AD143" s="49"/>
      <c r="AE143" s="51"/>
      <c r="AF143" s="49"/>
      <c r="AG143" s="49"/>
      <c r="AH143" s="49"/>
      <c r="AI143" s="48"/>
    </row>
    <row r="144" spans="1:38" x14ac:dyDescent="0.2">
      <c r="A144" s="20" t="s">
        <v>68</v>
      </c>
      <c r="B144" s="40" t="str">
        <f>IF(C144=0,"",C144+D144+E144-F144+J144-IF(I76="x",1)+IF(M119="x",2)+IF(M111="x",2)+IF(M112="x",4)+IF(M108="x",1)-IF(M109="x",1)-B10)</f>
        <v/>
      </c>
      <c r="C144" s="17">
        <v>0</v>
      </c>
      <c r="D144" s="12">
        <f>I6</f>
        <v>0</v>
      </c>
      <c r="E144" s="17">
        <v>0</v>
      </c>
      <c r="G144" s="42"/>
      <c r="H144" s="40"/>
      <c r="I144" s="40"/>
      <c r="J144" s="17">
        <v>0</v>
      </c>
      <c r="L144" s="23" t="s">
        <v>37</v>
      </c>
      <c r="M144" s="12">
        <f>I5-IF(I76="x",1)-IF(I77="x",2)-IF(I86="x",2)-IF(I90="x",2)+IF(M119="x",2)-B10+N144</f>
        <v>0</v>
      </c>
      <c r="N144" s="17">
        <v>0</v>
      </c>
      <c r="AB144" s="52"/>
      <c r="AC144" s="53"/>
      <c r="AD144" s="54"/>
      <c r="AE144" s="53"/>
      <c r="AF144" s="54"/>
      <c r="AG144" s="54"/>
      <c r="AH144" s="54"/>
      <c r="AI144" s="40"/>
      <c r="AJ144" s="40"/>
      <c r="AL144" s="49"/>
    </row>
    <row r="145" spans="1:38" x14ac:dyDescent="0.2">
      <c r="A145" s="20" t="s">
        <v>55</v>
      </c>
      <c r="B145" s="40">
        <f>C145+D145+E145-F145+J145-IF(I76="x",1)+IF(M119="x",2)+IF(M111="x",2)+IF(M112="x",4)+IF(M108="x",1)-IF(M109="x",1)-B10+IF(C92="x",2)</f>
        <v>0</v>
      </c>
      <c r="C145" s="17">
        <v>0</v>
      </c>
      <c r="D145" s="12">
        <f>I5</f>
        <v>0</v>
      </c>
      <c r="E145" s="17">
        <v>0</v>
      </c>
      <c r="G145" s="42" t="str">
        <f>IF(C168&gt;=5,"+2 Käsityöläisyys-taitoosi liittyviin testeihin",IF(C169&gt;=5,"+2 Käsityöläisyys-taitoosi liittyviin testeihin",IF(C170&gt;=5,"+2 Käsityöläisyys-taitoosi liittyviin testeihin","")))</f>
        <v/>
      </c>
      <c r="H145" s="40"/>
      <c r="I145" s="40"/>
      <c r="J145" s="17">
        <v>0</v>
      </c>
      <c r="L145" s="23" t="s">
        <v>36</v>
      </c>
      <c r="M145" s="12">
        <f>I6-IF(I76="x",1)-IF(I77="x",2)-IF(I86="x",2)-IF(I90="x",2)+IF(M119="x",2)-B10+N145</f>
        <v>0</v>
      </c>
      <c r="N145" s="17">
        <v>0</v>
      </c>
      <c r="AB145" s="55"/>
      <c r="AC145" s="50"/>
      <c r="AD145" s="50"/>
      <c r="AE145" s="50"/>
      <c r="AF145" s="50"/>
      <c r="AG145" s="50"/>
      <c r="AH145" s="50"/>
      <c r="AI145" s="50"/>
      <c r="AJ145" s="50"/>
      <c r="AK145" s="50"/>
      <c r="AL145" s="50"/>
    </row>
    <row r="146" spans="1:38" x14ac:dyDescent="0.2">
      <c r="A146" s="20" t="s">
        <v>56</v>
      </c>
      <c r="B146" s="40">
        <f>C146+D146+E146-F146+J146-IF(I76="x",1)+IF(C141&gt;=5,2)+IF(C161&gt;=5,2)+IF(C192&gt;=5,2)+IF(M119="x",2)+IF(M111="x",2)+IF(M112="x",4)+IF(M108="x",1)-IF(M109="x",1)-B10+IF(C102="x",2)</f>
        <v>0</v>
      </c>
      <c r="C146" s="17">
        <v>0</v>
      </c>
      <c r="D146" s="12">
        <f>I7</f>
        <v>0</v>
      </c>
      <c r="E146" s="17">
        <v>0</v>
      </c>
      <c r="G146" s="42"/>
      <c r="H146" s="40"/>
      <c r="I146" s="40"/>
      <c r="J146" s="17">
        <v>0</v>
      </c>
      <c r="L146" s="15" t="s">
        <v>38</v>
      </c>
      <c r="M146" s="12">
        <f>I7-IF(I76="x",1)-IF(I77="x",2)-IF(I86="x",2)-IF(I90="x",2)+IF(M119="x",2)-B10+N146</f>
        <v>0</v>
      </c>
      <c r="N146" s="17">
        <v>0</v>
      </c>
      <c r="AB146" s="59"/>
      <c r="AC146" s="51"/>
      <c r="AD146" s="49"/>
      <c r="AE146" s="51"/>
      <c r="AF146" s="49"/>
      <c r="AG146" s="49"/>
      <c r="AH146" s="49"/>
      <c r="AI146" s="50"/>
      <c r="AJ146" s="50"/>
      <c r="AK146" s="50"/>
      <c r="AL146" s="50"/>
    </row>
    <row r="147" spans="1:38" x14ac:dyDescent="0.2">
      <c r="A147" s="20" t="s">
        <v>57</v>
      </c>
      <c r="B147" s="40" t="str">
        <f>IF(C147=0,"",C147+D147+E147-F147+J147-IF(I76="x",1)+IF(M119="x",2)+IF(M111="x",2)+IF(M112="x",4)+IF(M108="x",1)-IF(M109="x",1)-B10+IF(C88="x",2))</f>
        <v/>
      </c>
      <c r="C147" s="17">
        <v>0</v>
      </c>
      <c r="D147" s="12">
        <f>I7</f>
        <v>0</v>
      </c>
      <c r="E147" s="17">
        <v>0</v>
      </c>
      <c r="G147" s="42"/>
      <c r="H147" s="40"/>
      <c r="I147" s="40"/>
      <c r="J147" s="17">
        <v>0</v>
      </c>
      <c r="AB147" s="62"/>
      <c r="AC147" s="53"/>
      <c r="AD147" s="49"/>
      <c r="AE147" s="51"/>
      <c r="AF147" s="49"/>
      <c r="AG147" s="49"/>
      <c r="AH147" s="53"/>
      <c r="AI147" s="50"/>
      <c r="AJ147" s="50"/>
      <c r="AK147" s="50"/>
      <c r="AL147" s="50"/>
    </row>
    <row r="148" spans="1:38" x14ac:dyDescent="0.2">
      <c r="A148" s="20" t="s">
        <v>104</v>
      </c>
      <c r="B148" s="40">
        <f>C148+D148+E148-F148+J148-IF(I76="x",1)+IF(M119="x",2)+IF(M111="x",2)+IF(M112="x",4)+IF(M108="x",1)-IF(M109="x",1)-B10+IF(C93="x",2)</f>
        <v>0</v>
      </c>
      <c r="C148" s="17">
        <v>0</v>
      </c>
      <c r="D148" s="12">
        <f>I6</f>
        <v>0</v>
      </c>
      <c r="E148" s="17">
        <v>0</v>
      </c>
      <c r="G148" s="42" t="str">
        <f>IF(C159&gt;=5,"+2 jälkiä seurattaessa","")&amp;IF(C185&gt;=5,"+2 testeihin maan alla","")&amp;IF(C186&gt;=5,"+2 testeihin normaalissa maanpäällisessä luonnossa","")&amp;IF(C187&gt;=5,"+2 testeihin eksymisen tai ympäristön vaarojen välttämiseksi","")</f>
        <v/>
      </c>
      <c r="H148" s="40"/>
      <c r="I148" s="40"/>
      <c r="J148" s="17">
        <v>0</v>
      </c>
      <c r="L148" s="25"/>
      <c r="M148" s="25"/>
      <c r="AB148" s="59"/>
      <c r="AC148" s="51"/>
      <c r="AD148" s="49"/>
      <c r="AE148" s="51"/>
      <c r="AF148" s="49"/>
      <c r="AG148" s="49"/>
      <c r="AH148" s="49"/>
    </row>
    <row r="149" spans="1:38" x14ac:dyDescent="0.2">
      <c r="A149" s="20" t="s">
        <v>58</v>
      </c>
      <c r="B149" s="40">
        <f>C149+D149+E149-F149+J149-IF(I76="x",1)+IF(M119="x",2)+IF(M111="x",2)+IF(M112="x",4)+IF(M108="x",1)-IF(M109="x",1)-B10</f>
        <v>0</v>
      </c>
      <c r="C149" s="17">
        <v>0</v>
      </c>
      <c r="D149" s="12">
        <f>I7</f>
        <v>0</v>
      </c>
      <c r="E149" s="17">
        <v>0</v>
      </c>
      <c r="G149" s="42"/>
      <c r="H149" s="40"/>
      <c r="I149" s="40"/>
      <c r="J149" s="17">
        <v>0</v>
      </c>
      <c r="L149" s="34" t="s">
        <v>389</v>
      </c>
      <c r="M149" s="25"/>
      <c r="AB149" s="62"/>
      <c r="AC149" s="53"/>
      <c r="AD149" s="49"/>
      <c r="AE149" s="51"/>
      <c r="AF149" s="49"/>
      <c r="AG149" s="49"/>
      <c r="AH149" s="53"/>
    </row>
    <row r="150" spans="1:38" x14ac:dyDescent="0.2">
      <c r="A150" s="20" t="s">
        <v>59</v>
      </c>
      <c r="B150" s="40">
        <f>C150+D150+E150-F150+J150-IF(I76="x",1)+IF(M119="x",2)+IF(M111="x",2)+IF(M112="x",4)+IF(M108="x",1)-IF(M109="x",1)-B10</f>
        <v>0</v>
      </c>
      <c r="C150" s="17">
        <v>0</v>
      </c>
      <c r="D150" s="12">
        <f>I7</f>
        <v>0</v>
      </c>
      <c r="E150" s="17">
        <v>0</v>
      </c>
      <c r="G150" s="42"/>
      <c r="H150" s="40"/>
      <c r="I150" s="40"/>
      <c r="J150" s="17">
        <v>0</v>
      </c>
      <c r="L150" s="15" t="s">
        <v>231</v>
      </c>
      <c r="N150" s="17">
        <v>0</v>
      </c>
      <c r="AB150" s="59"/>
      <c r="AC150" s="51"/>
      <c r="AD150" s="49"/>
      <c r="AE150" s="51"/>
      <c r="AF150" s="49"/>
      <c r="AG150" s="49"/>
      <c r="AH150" s="49"/>
    </row>
    <row r="151" spans="1:38" x14ac:dyDescent="0.2">
      <c r="A151" s="20" t="s">
        <v>60</v>
      </c>
      <c r="B151" s="40">
        <f>C151+D151+E151-F151+J151-IF(I76="x",1)+IF(M119="x",2)+IF(M111="x",2)+IF(M112="x",4)+IF(M108="x",1)-IF(M109="x",1)-B10</f>
        <v>0</v>
      </c>
      <c r="C151" s="17">
        <v>0</v>
      </c>
      <c r="D151" s="12">
        <f>I7</f>
        <v>0</v>
      </c>
      <c r="E151" s="17">
        <v>0</v>
      </c>
      <c r="G151" s="42"/>
      <c r="H151" s="40"/>
      <c r="I151" s="40"/>
      <c r="J151" s="17">
        <v>0</v>
      </c>
      <c r="L151" s="23" t="s">
        <v>217</v>
      </c>
      <c r="N151" s="12">
        <f>IF(N150=0,0,3)+I7+IF(C100="x",4)</f>
        <v>0</v>
      </c>
    </row>
    <row r="152" spans="1:38" x14ac:dyDescent="0.2">
      <c r="A152" s="20" t="s">
        <v>61</v>
      </c>
      <c r="B152" s="40">
        <f>C152+D152+E152-F152+J152-IF(I76="x",1)+IF(M119="x",2)+IF(M111="x",2)+IF(M112="x",4)+IF(M108="x",1)-IF(M109="x",1)-B10</f>
        <v>0</v>
      </c>
      <c r="C152" s="17">
        <v>0</v>
      </c>
      <c r="D152" s="12">
        <f>I7</f>
        <v>0</v>
      </c>
      <c r="E152" s="17">
        <v>0</v>
      </c>
      <c r="G152" s="42"/>
      <c r="H152" s="40"/>
      <c r="I152" s="40"/>
      <c r="J152" s="17">
        <v>0</v>
      </c>
      <c r="K152" s="25"/>
      <c r="L152" s="23" t="s">
        <v>214</v>
      </c>
      <c r="M152" s="38" t="s">
        <v>218</v>
      </c>
      <c r="N152" s="12">
        <f>I7</f>
        <v>0</v>
      </c>
    </row>
    <row r="153" spans="1:38" x14ac:dyDescent="0.2">
      <c r="A153" s="20" t="s">
        <v>62</v>
      </c>
      <c r="B153" s="40">
        <f>C153+D153+E153-F153+J153-IF(I76="x",1)+IF(M119="x",2)+IF(M111="x",2)+IF(M112="x",4)+IF(M108="x",1)-IF(M109="x",1)-B10</f>
        <v>0</v>
      </c>
      <c r="C153" s="17">
        <v>0</v>
      </c>
      <c r="D153" s="12">
        <f>I7</f>
        <v>0</v>
      </c>
      <c r="E153" s="17">
        <v>0</v>
      </c>
      <c r="G153" s="42"/>
      <c r="H153" s="40"/>
      <c r="I153" s="40"/>
      <c r="J153" s="17">
        <v>0</v>
      </c>
      <c r="L153" s="23" t="s">
        <v>216</v>
      </c>
      <c r="M153" s="38" t="s">
        <v>215</v>
      </c>
      <c r="N153" s="12">
        <f>I7+N150</f>
        <v>0</v>
      </c>
      <c r="AB153" s="115"/>
      <c r="AC153" s="116"/>
      <c r="AD153" s="116"/>
      <c r="AE153" s="116"/>
      <c r="AF153" s="116"/>
      <c r="AG153" s="116"/>
      <c r="AH153" s="116"/>
      <c r="AI153" s="116"/>
      <c r="AJ153" s="116"/>
      <c r="AK153" s="116"/>
      <c r="AL153" s="116"/>
    </row>
    <row r="154" spans="1:38" x14ac:dyDescent="0.2">
      <c r="A154" s="20" t="s">
        <v>63</v>
      </c>
      <c r="B154" s="40">
        <f>C154+D154+E154-F154+J154-IF(I76="x",1)+IF(M119="x",2)+IF(M111="x",2)+IF(M112="x",4)+IF(M108="x",1)-IF(M109="x",1)-B10</f>
        <v>0</v>
      </c>
      <c r="C154" s="17">
        <v>0</v>
      </c>
      <c r="D154" s="12">
        <f>I7</f>
        <v>0</v>
      </c>
      <c r="E154" s="17">
        <v>0</v>
      </c>
      <c r="G154" s="42"/>
      <c r="H154" s="40"/>
      <c r="I154" s="40"/>
      <c r="J154" s="17">
        <v>0</v>
      </c>
      <c r="AB154" s="57"/>
      <c r="AC154" s="40"/>
      <c r="AD154" s="49"/>
      <c r="AE154" s="117"/>
      <c r="AF154" s="49"/>
      <c r="AG154" s="40"/>
      <c r="AH154" s="40"/>
      <c r="AI154" s="40"/>
      <c r="AJ154" s="40"/>
      <c r="AK154" s="40"/>
      <c r="AL154" s="40"/>
    </row>
    <row r="155" spans="1:38" x14ac:dyDescent="0.2">
      <c r="A155" s="20" t="s">
        <v>64</v>
      </c>
      <c r="B155" s="40">
        <f>C155+D155+E155-F155+J155-IF(I76="x",1)+IF(M119="x",2)+IF(M111="x",2)+IF(M112="x",4)+IF(M108="x",1)-IF(M109="x",1)-B10</f>
        <v>0</v>
      </c>
      <c r="C155" s="17">
        <v>0</v>
      </c>
      <c r="D155" s="12">
        <f>I7</f>
        <v>0</v>
      </c>
      <c r="E155" s="17">
        <v>0</v>
      </c>
      <c r="G155" s="42"/>
      <c r="H155" s="40"/>
      <c r="I155" s="40"/>
      <c r="J155" s="17">
        <v>0</v>
      </c>
      <c r="AB155" s="47"/>
      <c r="AC155" s="113"/>
      <c r="AD155" s="114"/>
      <c r="AE155" s="113"/>
      <c r="AF155" s="114"/>
      <c r="AG155" s="114"/>
      <c r="AH155" s="114"/>
      <c r="AI155" s="48"/>
      <c r="AJ155" s="48"/>
      <c r="AK155" s="48"/>
      <c r="AL155" s="48"/>
    </row>
    <row r="156" spans="1:38" x14ac:dyDescent="0.2">
      <c r="A156" s="20" t="s">
        <v>65</v>
      </c>
      <c r="B156" s="40">
        <f>C156+D156+E156-F156+J156-IF(I76="x",1)+IF(M119="x",2)+IF(M111="x",2)+IF(M112="x",4)+IF(M108="x",1)-IF(M109="x",1)-B10</f>
        <v>0</v>
      </c>
      <c r="C156" s="17">
        <v>0</v>
      </c>
      <c r="D156" s="12">
        <f>I7</f>
        <v>0</v>
      </c>
      <c r="E156" s="17">
        <v>0</v>
      </c>
      <c r="G156" s="42"/>
      <c r="H156" s="40"/>
      <c r="I156" s="40"/>
      <c r="J156" s="17">
        <v>0</v>
      </c>
      <c r="AB156" s="56"/>
      <c r="AC156" s="51"/>
      <c r="AD156" s="49"/>
      <c r="AE156" s="51"/>
      <c r="AF156" s="49"/>
      <c r="AG156" s="40"/>
      <c r="AH156" s="49"/>
      <c r="AI156" s="40"/>
      <c r="AJ156" s="40"/>
      <c r="AK156" s="40"/>
      <c r="AL156" s="40"/>
    </row>
    <row r="157" spans="1:38" x14ac:dyDescent="0.2">
      <c r="A157" s="20" t="s">
        <v>66</v>
      </c>
      <c r="B157" s="40">
        <f>C157+D157+E157-F157+J157-IF(I76="x",1)+IF(M119="x",2)+IF(M111="x",2)+IF(M112="x",4)+IF(M108="x",1)-IF(M109="x",1)-B10</f>
        <v>0</v>
      </c>
      <c r="C157" s="17">
        <v>0</v>
      </c>
      <c r="D157" s="12">
        <f>I7</f>
        <v>0</v>
      </c>
      <c r="E157" s="17">
        <v>0</v>
      </c>
      <c r="G157" s="42"/>
      <c r="H157" s="40"/>
      <c r="I157" s="40"/>
      <c r="J157" s="17">
        <v>0</v>
      </c>
      <c r="AB157" s="56"/>
      <c r="AC157" s="49"/>
      <c r="AD157" s="49"/>
      <c r="AE157" s="51"/>
      <c r="AF157" s="49"/>
      <c r="AG157" s="40"/>
      <c r="AH157" s="49"/>
      <c r="AI157" s="48"/>
    </row>
    <row r="158" spans="1:38" x14ac:dyDescent="0.2">
      <c r="A158" s="20" t="s">
        <v>67</v>
      </c>
      <c r="B158" s="40">
        <f>C158+D158+E158-F158+J158-IF(I76="x",1)+IF(M119="x",2)+IF(M111="x",2)+IF(M112="x",4)+IF(M108="x",1)-IF(M109="x",1)-B10</f>
        <v>0</v>
      </c>
      <c r="C158" s="17">
        <v>0</v>
      </c>
      <c r="D158" s="12">
        <f>I7</f>
        <v>0</v>
      </c>
      <c r="E158" s="17">
        <v>0</v>
      </c>
      <c r="G158" s="42"/>
      <c r="H158" s="40"/>
      <c r="I158" s="40"/>
      <c r="J158" s="17">
        <v>0</v>
      </c>
      <c r="AB158" s="52"/>
      <c r="AC158" s="53"/>
      <c r="AD158" s="54"/>
      <c r="AE158" s="53"/>
      <c r="AF158" s="54"/>
      <c r="AG158" s="54"/>
      <c r="AH158" s="54"/>
      <c r="AI158" s="40"/>
      <c r="AJ158" s="40"/>
      <c r="AL158" s="49"/>
    </row>
    <row r="159" spans="1:38" x14ac:dyDescent="0.2">
      <c r="A159" s="20" t="s">
        <v>69</v>
      </c>
      <c r="B159" s="40">
        <f>C159+D159+E159-F159+J159-IF(I89="x",4)-IF(I76="x",1)-IF(I78="x",1)+IF(M119="x",2)+IF(M111="x",2)+IF(M112="x",4)+IF(M108="x",1)-IF(M109="x",1)-B10+IF(C113="x",2)</f>
        <v>0</v>
      </c>
      <c r="C159" s="17">
        <v>0</v>
      </c>
      <c r="D159" s="12">
        <f>I5</f>
        <v>0</v>
      </c>
      <c r="E159" s="17">
        <v>0</v>
      </c>
      <c r="G159" s="42" t="str">
        <f>+IF(C183&gt;=5,"+2 salaoviin ja salalokeroihin liittyviin testeihin","")</f>
        <v/>
      </c>
      <c r="H159" s="40"/>
      <c r="I159" s="40"/>
      <c r="J159" s="17">
        <v>0</v>
      </c>
      <c r="K159" s="45"/>
    </row>
    <row r="160" spans="1:38" x14ac:dyDescent="0.2">
      <c r="A160" s="20" t="s">
        <v>70</v>
      </c>
      <c r="B160" s="40">
        <f>C160+D160+E160-F160+J160-IF(I75="x",4)-IF(I76="x",1)-IF(I78="x",1)+IF(M119="x",2)+IF(M111="x",2)+IF(M112="x",4)+IF(M108="x",1)-IF(M109="x",1)-B10+IF(C115="x",2)</f>
        <v>0</v>
      </c>
      <c r="C160" s="17">
        <v>0</v>
      </c>
      <c r="D160" s="12">
        <f>I6</f>
        <v>0</v>
      </c>
      <c r="E160" s="17">
        <v>0</v>
      </c>
      <c r="G160" s="42"/>
      <c r="H160" s="40"/>
      <c r="I160" s="40"/>
      <c r="J160" s="17">
        <v>0</v>
      </c>
      <c r="K160" s="45"/>
    </row>
    <row r="161" spans="1:38" x14ac:dyDescent="0.2">
      <c r="A161" s="20" t="s">
        <v>71</v>
      </c>
      <c r="B161" s="40">
        <f>C161+D161+E161-F161+J161-IF(I76="x",1)+IF(M119="x",2)+IF(M111="x",2)+IF(M112="x",4)+IF(M108="x",1)-IF(M109="x",1)-B10+IF(C114="x",2)</f>
        <v>0</v>
      </c>
      <c r="C161" s="17">
        <v>0</v>
      </c>
      <c r="D161" s="12">
        <f>I7</f>
        <v>0</v>
      </c>
      <c r="E161" s="17">
        <v>0</v>
      </c>
      <c r="G161" s="42"/>
      <c r="H161" s="40"/>
      <c r="I161" s="40"/>
      <c r="J161" s="17">
        <v>0</v>
      </c>
      <c r="K161" s="45"/>
      <c r="AB161" s="46"/>
      <c r="AC161" s="48"/>
      <c r="AD161" s="48"/>
      <c r="AE161" s="48"/>
      <c r="AF161" s="48"/>
      <c r="AG161" s="48"/>
      <c r="AH161" s="48"/>
      <c r="AI161" s="48"/>
      <c r="AJ161" s="48"/>
      <c r="AK161" s="48"/>
      <c r="AL161" s="48"/>
    </row>
    <row r="162" spans="1:38" x14ac:dyDescent="0.2">
      <c r="A162" s="20" t="s">
        <v>72</v>
      </c>
      <c r="B162" s="40">
        <f>C162+D162+E162+F162+J162-IF(I76="x",1)+IF(C171&gt;=5,2)+IF(M119="x",2)+IF(M111="x",2)+IF(M112="x",4)+IF(M108="x",1)-IF(M109="x",1)-B10+IF(C104="x",2)</f>
        <v>0</v>
      </c>
      <c r="C162" s="17">
        <v>0</v>
      </c>
      <c r="D162" s="12">
        <f>I3</f>
        <v>0</v>
      </c>
      <c r="E162" s="17">
        <v>0</v>
      </c>
      <c r="F162" s="40">
        <f>F142</f>
        <v>0</v>
      </c>
      <c r="G162" s="42"/>
      <c r="H162" s="40"/>
      <c r="I162" s="40"/>
      <c r="J162" s="17">
        <v>0</v>
      </c>
      <c r="K162" s="45"/>
      <c r="AC162" s="40"/>
      <c r="AD162" s="49"/>
      <c r="AE162" s="41"/>
      <c r="AF162" s="49"/>
      <c r="AG162" s="40"/>
      <c r="AH162" s="40"/>
      <c r="AI162" s="40"/>
      <c r="AJ162" s="40"/>
      <c r="AK162" s="40"/>
      <c r="AL162" s="40"/>
    </row>
    <row r="163" spans="1:38" x14ac:dyDescent="0.2">
      <c r="A163" s="20" t="s">
        <v>73</v>
      </c>
      <c r="B163" s="40">
        <f>C163+D163+E163-F163+J163-IF(I76="x",1)+IF(M119="x",2)+IF(M111="x",2)+IF(M112="x",4)+IF(M108="x",1)-IF(M109="x",1)-B10</f>
        <v>0</v>
      </c>
      <c r="C163" s="17">
        <v>0</v>
      </c>
      <c r="D163" s="12">
        <f>I4</f>
        <v>0</v>
      </c>
      <c r="E163" s="17">
        <v>0</v>
      </c>
      <c r="F163" s="40"/>
      <c r="G163" s="42"/>
      <c r="H163" s="40"/>
      <c r="I163" s="40"/>
      <c r="J163" s="17">
        <v>0</v>
      </c>
      <c r="K163" s="45"/>
      <c r="AB163" s="47"/>
      <c r="AC163" s="113"/>
      <c r="AD163" s="114"/>
      <c r="AE163" s="113"/>
      <c r="AF163" s="114"/>
      <c r="AG163" s="114"/>
      <c r="AH163" s="114"/>
      <c r="AI163" s="48"/>
      <c r="AJ163" s="48"/>
      <c r="AK163" s="48"/>
      <c r="AL163" s="48"/>
    </row>
    <row r="164" spans="1:38" x14ac:dyDescent="0.2">
      <c r="A164" s="20" t="s">
        <v>74</v>
      </c>
      <c r="B164" s="40">
        <f>C164+D164+E164+F164+J164-IF(I76="x",1)+IF(C171&gt;=5,2)+IF(M119="x",2)+IF(M111="x",2)+IF(M112="x",4)+IF(M108="x",1)-IF(M109="x",1)-B10+IF(C96="x",2)</f>
        <v>0</v>
      </c>
      <c r="C164" s="17">
        <v>0</v>
      </c>
      <c r="D164" s="12">
        <f>I2</f>
        <v>0</v>
      </c>
      <c r="E164" s="17">
        <v>0</v>
      </c>
      <c r="F164" s="40">
        <f>F142</f>
        <v>0</v>
      </c>
      <c r="G164" s="42"/>
      <c r="H164" s="40"/>
      <c r="I164" s="40"/>
      <c r="J164" s="17">
        <v>0</v>
      </c>
      <c r="AB164" s="50"/>
      <c r="AC164" s="51"/>
      <c r="AD164" s="49"/>
      <c r="AE164" s="51"/>
      <c r="AF164" s="49"/>
      <c r="AG164" s="49"/>
      <c r="AH164" s="49"/>
      <c r="AI164" s="40"/>
      <c r="AJ164" s="40"/>
      <c r="AK164" s="40"/>
      <c r="AL164" s="40"/>
    </row>
    <row r="165" spans="1:38" x14ac:dyDescent="0.2">
      <c r="A165" s="20" t="s">
        <v>75</v>
      </c>
      <c r="B165" s="40" t="str">
        <f>IF(C165=0,"",C165+D165+E165-F165+J165-IF(I76="x",1)+IF(M119="x",2)+IF(M111="x",2)+IF(M112="x",4)+IF(M108="x",1)-IF(M109="x",1)-B10+IF(C92="x",2))</f>
        <v/>
      </c>
      <c r="C165" s="17">
        <v>0</v>
      </c>
      <c r="D165" s="12">
        <f>I5</f>
        <v>0</v>
      </c>
      <c r="E165" s="17">
        <v>0</v>
      </c>
      <c r="F165" s="40"/>
      <c r="G165" s="42"/>
      <c r="H165" s="40"/>
      <c r="I165" s="40"/>
      <c r="J165" s="17">
        <v>0</v>
      </c>
      <c r="AB165" s="50"/>
      <c r="AC165" s="49"/>
      <c r="AD165" s="49"/>
      <c r="AE165" s="51"/>
      <c r="AF165" s="49"/>
      <c r="AG165" s="49"/>
      <c r="AH165" s="49"/>
      <c r="AI165" s="48"/>
    </row>
    <row r="166" spans="1:38" x14ac:dyDescent="0.2">
      <c r="A166" s="20" t="s">
        <v>76</v>
      </c>
      <c r="B166" s="40">
        <f>C166+D166+E166-F166+J166-IF(I76="x",1)+IF(C161&gt;=5,2)+IF(M119="x",2)+IF(M111="x",2)+IF(M112="x",4)+IF(M108="x",1)-IF(M109="x",1)-B10+IF(C114="x",2)</f>
        <v>0</v>
      </c>
      <c r="C166" s="17">
        <v>0</v>
      </c>
      <c r="D166" s="12">
        <f>I7</f>
        <v>0</v>
      </c>
      <c r="E166" s="17">
        <v>0</v>
      </c>
      <c r="F166" s="40"/>
      <c r="G166" s="42"/>
      <c r="H166" s="40"/>
      <c r="I166" s="40"/>
      <c r="J166" s="17">
        <v>0</v>
      </c>
      <c r="AB166" s="52"/>
      <c r="AC166" s="53"/>
      <c r="AD166" s="54"/>
      <c r="AE166" s="53"/>
      <c r="AF166" s="54"/>
      <c r="AG166" s="54"/>
      <c r="AH166" s="54"/>
      <c r="AI166" s="40"/>
      <c r="AJ166" s="40"/>
      <c r="AL166" s="49"/>
    </row>
    <row r="167" spans="1:38" x14ac:dyDescent="0.2">
      <c r="A167" s="20" t="s">
        <v>77</v>
      </c>
      <c r="B167" s="40">
        <f>IF(I81="x","KUURO",C167+D167+E167-F167+J167-IF(I75="x",4)-IF(I76="x",1)+IF(M119="x",2)+IF(M111="x",2)+IF(M112="x",4)+IF(M108="x",1)-IF(M109="x",1)-B10+IF(C115="x",2))</f>
        <v>0</v>
      </c>
      <c r="C167" s="17">
        <v>0</v>
      </c>
      <c r="D167" s="12">
        <f>I6</f>
        <v>0</v>
      </c>
      <c r="E167" s="17">
        <v>0</v>
      </c>
      <c r="F167" s="40"/>
      <c r="G167" s="42"/>
      <c r="H167" s="40"/>
      <c r="I167" s="40"/>
      <c r="J167" s="17">
        <v>0</v>
      </c>
      <c r="AB167" s="55"/>
      <c r="AC167" s="50"/>
      <c r="AD167" s="50"/>
      <c r="AE167" s="50"/>
      <c r="AF167" s="50"/>
      <c r="AG167" s="50"/>
      <c r="AH167" s="50"/>
      <c r="AI167" s="50"/>
      <c r="AJ167" s="50"/>
      <c r="AK167" s="50"/>
      <c r="AL167" s="50"/>
    </row>
    <row r="168" spans="1:38" x14ac:dyDescent="0.2">
      <c r="A168" s="20" t="s">
        <v>342</v>
      </c>
      <c r="B168" s="40">
        <f>C168+D168+E168-F168+J168-IF(I76="x",1)+IF(M119="x",2)+IF(M111="x",2)+IF(M112="x",4)+IF(M108="x",1)-IF(M109="x",1)-B10</f>
        <v>0</v>
      </c>
      <c r="C168" s="17">
        <v>0</v>
      </c>
      <c r="D168" s="12">
        <f>I5</f>
        <v>0</v>
      </c>
      <c r="E168" s="17">
        <v>0</v>
      </c>
      <c r="F168" s="40"/>
      <c r="G168" s="42"/>
      <c r="H168" s="40"/>
      <c r="I168" s="40"/>
      <c r="J168" s="17">
        <v>0</v>
      </c>
      <c r="AB168" s="59"/>
      <c r="AC168" s="51"/>
      <c r="AD168" s="49"/>
      <c r="AE168" s="51"/>
      <c r="AF168" s="49"/>
      <c r="AG168" s="49"/>
      <c r="AH168" s="49"/>
      <c r="AI168" s="50"/>
      <c r="AJ168" s="50"/>
      <c r="AK168" s="50"/>
      <c r="AL168" s="50"/>
    </row>
    <row r="169" spans="1:38" x14ac:dyDescent="0.2">
      <c r="A169" s="20" t="s">
        <v>342</v>
      </c>
      <c r="B169" s="40">
        <f>C169+D169+E169-F169+J169-IF(I76="x",1)+IF(M119="x",2)+IF(M111="x",2)+IF(M112="x",4)+IF(M108="x",1)-IF(M109="x",1)-B10</f>
        <v>0</v>
      </c>
      <c r="C169" s="17">
        <v>0</v>
      </c>
      <c r="D169" s="12">
        <f>I5</f>
        <v>0</v>
      </c>
      <c r="E169" s="17">
        <v>0</v>
      </c>
      <c r="F169" s="40"/>
      <c r="G169" s="42"/>
      <c r="H169" s="40"/>
      <c r="I169" s="40"/>
      <c r="J169" s="17">
        <v>0</v>
      </c>
      <c r="AB169" s="62"/>
      <c r="AC169" s="53"/>
      <c r="AD169" s="49"/>
      <c r="AE169" s="51"/>
      <c r="AF169" s="49"/>
      <c r="AG169" s="49"/>
      <c r="AH169" s="53"/>
      <c r="AI169" s="50"/>
      <c r="AJ169" s="50"/>
      <c r="AK169" s="50"/>
      <c r="AL169" s="50"/>
    </row>
    <row r="170" spans="1:38" x14ac:dyDescent="0.2">
      <c r="A170" s="20" t="s">
        <v>342</v>
      </c>
      <c r="B170" s="40">
        <f>C170+D170+E170-F170+J170-IF(I76="x",1)+IF(M119="x",2)+IF(M111="x",2)+IF(M112="x",4)+IF(M108="x",1)-IF(M109="x",1)-B10</f>
        <v>0</v>
      </c>
      <c r="C170" s="17">
        <v>0</v>
      </c>
      <c r="D170" s="12">
        <f>I5</f>
        <v>0</v>
      </c>
      <c r="E170" s="17">
        <v>0</v>
      </c>
      <c r="F170" s="40"/>
      <c r="G170" s="42"/>
      <c r="H170" s="40"/>
      <c r="I170" s="40"/>
      <c r="J170" s="17">
        <v>0</v>
      </c>
      <c r="AB170" s="59"/>
      <c r="AC170" s="51"/>
      <c r="AD170" s="49"/>
      <c r="AE170" s="51"/>
      <c r="AF170" s="49"/>
      <c r="AG170" s="49"/>
      <c r="AH170" s="49"/>
    </row>
    <row r="171" spans="1:38" x14ac:dyDescent="0.2">
      <c r="A171" s="20" t="s">
        <v>78</v>
      </c>
      <c r="B171" s="40">
        <f>C171+D171+E171-F171+J171-IF(I76="x",1)+IF(M119="x",2)+IF(M111="x",2)+IF(M112="x",4)+IF(M108="x",1)-IF(M109="x",1)-B10+IF(C116="x",2)</f>
        <v>0</v>
      </c>
      <c r="C171" s="17">
        <v>0</v>
      </c>
      <c r="D171" s="12">
        <f>I3</f>
        <v>0</v>
      </c>
      <c r="E171" s="17">
        <v>0</v>
      </c>
      <c r="F171" s="40"/>
      <c r="G171" s="42" t="str">
        <f>+IF(C162&gt;=5,"+2 siteisiin liittyviin testeihin","")</f>
        <v/>
      </c>
      <c r="H171" s="40"/>
      <c r="I171" s="40"/>
      <c r="J171" s="17">
        <v>0</v>
      </c>
      <c r="AB171" s="62"/>
      <c r="AC171" s="53"/>
      <c r="AD171" s="49"/>
      <c r="AE171" s="51"/>
      <c r="AF171" s="49"/>
      <c r="AG171" s="49"/>
      <c r="AH171" s="53"/>
    </row>
    <row r="172" spans="1:38" x14ac:dyDescent="0.2">
      <c r="A172" s="20" t="s">
        <v>79</v>
      </c>
      <c r="B172" s="40" t="str">
        <f>IF(C172=0,"",C172+D172+E172-F172+J172-IF(I76="x",1)+IF(M119="x",2)+IF(M111="x",2)+IF(M112="x",4)+IF(M108="x",1)-IF(M109="x",1)-B10+IF(C110="x",2))</f>
        <v/>
      </c>
      <c r="C172" s="17">
        <v>0</v>
      </c>
      <c r="D172" s="12">
        <f>I5</f>
        <v>0</v>
      </c>
      <c r="E172" s="17">
        <v>0</v>
      </c>
      <c r="F172" s="40"/>
      <c r="G172" s="42"/>
      <c r="H172" s="40"/>
      <c r="I172" s="40"/>
      <c r="J172" s="17">
        <v>0</v>
      </c>
      <c r="AB172" s="59"/>
      <c r="AC172" s="51"/>
      <c r="AD172" s="49"/>
      <c r="AE172" s="51"/>
      <c r="AF172" s="49"/>
      <c r="AG172" s="49"/>
      <c r="AH172" s="49"/>
    </row>
    <row r="173" spans="1:38" x14ac:dyDescent="0.2">
      <c r="A173" s="20" t="s">
        <v>80</v>
      </c>
      <c r="B173" s="40">
        <f>C173+D173+E173+F173+J173-IF(I76="x",1)+IF(C142&gt;=5,2)+IF(M119="x",2)+IF(M111="x",2)+IF(M112="x",4)+IF(M108="x",1)-IF(M109="x",1)-B10-IF(AND(C9&lt;=20,C9&gt;10),6)-IF(C9&lt;=10,12)+IF(AND(C9&gt;=40,C9&lt;50),4)+IF(AND(C9&gt;=50,C9&lt;60),8)+IF(AND(C9&gt;=60,C9&lt;70),12)+IF(AND(C9&gt;=70,C9&lt;80),16)+IF(AND(C9&gt;=80,C9&lt;90),20)+IF(AND(C9&gt;=90,C9&lt;100),24)+IF(AND(C9&gt;=100,C9&lt;110),28)+IF(AND(C9&gt;=110,C9&lt;120),32)+IF(AND(C9&gt;=120,C9&lt;130),36)+IF(C95="x",4)+IF(C99="x",2)</f>
        <v>0</v>
      </c>
      <c r="C173" s="17">
        <v>0</v>
      </c>
      <c r="D173" s="12">
        <f>I2</f>
        <v>0</v>
      </c>
      <c r="E173" s="17">
        <v>0</v>
      </c>
      <c r="F173" s="40">
        <f>F142</f>
        <v>0</v>
      </c>
      <c r="G173" s="42"/>
      <c r="H173" s="40"/>
      <c r="I173" s="40"/>
      <c r="J173" s="17">
        <v>0</v>
      </c>
    </row>
    <row r="174" spans="1:38" x14ac:dyDescent="0.2">
      <c r="A174" s="20" t="s">
        <v>81</v>
      </c>
      <c r="B174" s="40" t="str">
        <f>IF(C174=0,"",C174+D174+E174-F174+J174-IF(I76="x",1)+IF(C189&gt;=5,2)+IF(M119="x",2)+IF(M111="x",2)+IF(M112="x",4)+IF(M108="x",1)-IF(M109="x",1)-B10+IF(C111="x",2))</f>
        <v/>
      </c>
      <c r="C174" s="17">
        <v>0</v>
      </c>
      <c r="D174" s="12">
        <f>I5</f>
        <v>0</v>
      </c>
      <c r="E174" s="17">
        <v>0</v>
      </c>
      <c r="F174" s="40"/>
      <c r="G174" s="42" t="str">
        <f>+IF(C165&gt;=5,"+2 loitsukääröihin liittyviin testeihin","")</f>
        <v/>
      </c>
      <c r="H174" s="40"/>
      <c r="I174" s="40"/>
      <c r="J174" s="17">
        <v>0</v>
      </c>
    </row>
    <row r="175" spans="1:38" x14ac:dyDescent="0.2">
      <c r="A175" s="20" t="s">
        <v>82</v>
      </c>
      <c r="B175" s="40">
        <f>C175+D175+E175-F175+J175-IF(I76="x",1)+IF(M119="x",2)+IF(M111="x",2)+IF(M112="x",4)+IF(M108="x",1)-IF(M109="x",1)-B10+IF(C117="x",2)</f>
        <v>0</v>
      </c>
      <c r="C175" s="17">
        <v>0</v>
      </c>
      <c r="D175" s="12">
        <f>I7</f>
        <v>0</v>
      </c>
      <c r="E175" s="17">
        <v>0</v>
      </c>
      <c r="F175" s="40"/>
      <c r="G175" s="42" t="str">
        <f>IF(C161&gt;=5,"+2 toista esitettäessä","")</f>
        <v/>
      </c>
      <c r="H175" s="40"/>
      <c r="I175" s="40"/>
      <c r="J175" s="17">
        <v>0</v>
      </c>
      <c r="AB175" s="46"/>
      <c r="AC175" s="48"/>
      <c r="AD175" s="48"/>
      <c r="AE175" s="48"/>
      <c r="AF175" s="48"/>
      <c r="AG175" s="48"/>
      <c r="AH175" s="48"/>
      <c r="AI175" s="48"/>
      <c r="AJ175" s="48"/>
      <c r="AK175" s="48"/>
      <c r="AL175" s="48"/>
    </row>
    <row r="176" spans="1:38" x14ac:dyDescent="0.2">
      <c r="A176" s="20" t="s">
        <v>83</v>
      </c>
      <c r="B176" s="40">
        <f>C176+D176+E176-F176+J176-IF(I76="x",1)+IF(M119="x",2)+IF(M111="x",2)+IF(M112="x",4)+IF(M108="x",1)-IF(M109="x",1)-B10+IF(C93="x",2)</f>
        <v>0</v>
      </c>
      <c r="C176" s="17">
        <v>0</v>
      </c>
      <c r="D176" s="82">
        <f>I6</f>
        <v>0</v>
      </c>
      <c r="E176" s="17">
        <v>0</v>
      </c>
      <c r="F176" s="40"/>
      <c r="G176" s="42"/>
      <c r="H176" s="40"/>
      <c r="I176" s="40"/>
      <c r="J176" s="17">
        <v>0</v>
      </c>
      <c r="AC176" s="40"/>
      <c r="AD176" s="49"/>
      <c r="AE176" s="41"/>
      <c r="AF176" s="49"/>
      <c r="AG176" s="40"/>
      <c r="AH176" s="40"/>
      <c r="AI176" s="40"/>
      <c r="AJ176" s="40"/>
      <c r="AK176" s="40"/>
      <c r="AL176" s="40"/>
    </row>
    <row r="177" spans="1:38" x14ac:dyDescent="0.2">
      <c r="A177" s="20" t="s">
        <v>84</v>
      </c>
      <c r="B177" s="41">
        <f>C177+D177+E177+F177+J177-IF(I76="x",1)+IF(M119="x",2)+IF(M111="x",2)+IF(M112="x",4)+IF(M108="x",1)-IF(M109="x",1)-B10+IF(C107="x",2)+IF(C7="Minimaalinen",16)+IF(C7="Taskukokoinen",12)+IF(C7="Hyvin pieni",8)+IF(C7="Pieni",4)-IF(C7="Iso",4)-IF(C7="Valtava",8)-IF(C7="Suunnaton",12)-IF(C7="Giganttinen",16)</f>
        <v>0</v>
      </c>
      <c r="C177" s="17">
        <v>0</v>
      </c>
      <c r="D177" s="12">
        <f>I3</f>
        <v>0</v>
      </c>
      <c r="E177" s="17">
        <v>0</v>
      </c>
      <c r="F177" s="49">
        <f>F142</f>
        <v>0</v>
      </c>
      <c r="G177" s="59"/>
      <c r="H177" s="50"/>
      <c r="I177" s="50"/>
      <c r="J177" s="17">
        <v>0</v>
      </c>
      <c r="AB177" s="47"/>
      <c r="AC177" s="113"/>
      <c r="AD177" s="114"/>
      <c r="AE177" s="113"/>
      <c r="AF177" s="114"/>
      <c r="AG177" s="114"/>
      <c r="AH177" s="114"/>
      <c r="AI177" s="48"/>
      <c r="AJ177" s="48"/>
      <c r="AK177" s="48"/>
      <c r="AL177" s="48"/>
    </row>
    <row r="178" spans="1:38" x14ac:dyDescent="0.2">
      <c r="A178" s="20" t="s">
        <v>85</v>
      </c>
      <c r="B178" s="40">
        <f>C178+D178+E178-F178+J178-IF(I76="x",1)+IF(C147&gt;=5,2)+IF(M119="x",2)+IF(M111="x",2)+IF(M112="x",4)+IF(M108="x",1)-IF(M109="x",1)-B10+IF(C88="x",2)</f>
        <v>0</v>
      </c>
      <c r="C178" s="17">
        <v>0</v>
      </c>
      <c r="D178" s="12">
        <f>I3</f>
        <v>0</v>
      </c>
      <c r="E178" s="17">
        <v>0</v>
      </c>
      <c r="F178" s="40"/>
      <c r="G178" s="42"/>
      <c r="H178" s="40"/>
      <c r="I178" s="40"/>
      <c r="J178" s="17">
        <v>0</v>
      </c>
      <c r="AB178" s="50"/>
      <c r="AC178" s="51"/>
      <c r="AD178" s="49"/>
      <c r="AE178" s="51"/>
      <c r="AF178" s="49"/>
      <c r="AG178" s="49"/>
      <c r="AH178" s="49"/>
      <c r="AI178" s="40"/>
      <c r="AJ178" s="40"/>
      <c r="AK178" s="40"/>
      <c r="AL178" s="40"/>
    </row>
    <row r="179" spans="1:38" x14ac:dyDescent="0.2">
      <c r="A179" s="20" t="s">
        <v>86</v>
      </c>
      <c r="B179" s="40">
        <f>C179+D179+E179+F179+J179-IF(I76="x",1)+IF(C161&gt;=5,2)+IF(M119="x",2)+IF(M111="x",2)+IF(M112="x",4)+IF(M108="x",1)-IF(M109="x",1)-B10+IF(C116="x",2)</f>
        <v>0</v>
      </c>
      <c r="C179" s="17">
        <v>0</v>
      </c>
      <c r="D179" s="12">
        <f>I3</f>
        <v>0</v>
      </c>
      <c r="E179" s="17">
        <v>0</v>
      </c>
      <c r="F179" s="40">
        <f>F142</f>
        <v>0</v>
      </c>
      <c r="G179" s="42"/>
      <c r="H179" s="40"/>
      <c r="I179" s="40"/>
      <c r="J179" s="17">
        <v>0</v>
      </c>
      <c r="AB179" s="50"/>
      <c r="AC179" s="49"/>
      <c r="AD179" s="49"/>
      <c r="AE179" s="51"/>
      <c r="AF179" s="49"/>
      <c r="AG179" s="49"/>
      <c r="AH179" s="49"/>
      <c r="AI179" s="48"/>
    </row>
    <row r="180" spans="1:38" x14ac:dyDescent="0.2">
      <c r="A180" s="20" t="s">
        <v>87</v>
      </c>
      <c r="B180" s="40" t="str">
        <f>IF(C180=0,"",C180+D180+E180-F180+J180-IF(I76="x",1)+IF(M119="x",2)+IF(M111="x",2)+IF(M112="x",4)+IF(M108="x",1)-IF(M109="x",1)-B10+IF(C111="x",2))</f>
        <v/>
      </c>
      <c r="C180" s="17">
        <v>0</v>
      </c>
      <c r="D180" s="12">
        <f>I7</f>
        <v>0</v>
      </c>
      <c r="E180" s="17">
        <v>0</v>
      </c>
      <c r="F180" s="40"/>
      <c r="G180" s="42" t="str">
        <f>IF(C174&gt;=5,"+2 loitsukääröihin liittyviin testeihin","")&amp;IF(C165&gt;=5,"+2 loitsukääröjen tulkitsemiseen liittyviin testeihin","")</f>
        <v/>
      </c>
      <c r="H180" s="40"/>
      <c r="I180" s="40"/>
      <c r="J180" s="17">
        <v>0</v>
      </c>
      <c r="AB180" s="52"/>
      <c r="AC180" s="53"/>
      <c r="AD180" s="54"/>
      <c r="AE180" s="53"/>
      <c r="AF180" s="54"/>
      <c r="AG180" s="54"/>
      <c r="AH180" s="54"/>
      <c r="AI180" s="40"/>
      <c r="AJ180" s="40"/>
      <c r="AL180" s="49"/>
    </row>
    <row r="181" spans="1:38" x14ac:dyDescent="0.2">
      <c r="A181" s="20" t="s">
        <v>88</v>
      </c>
      <c r="B181" s="40">
        <f>C181+D181+E181+F181+J181-IF(I76="x",1)+IF(C142&gt;=5,2)+IF(M119="x",2)+IF(M111="x",2)+IF(M112="x",4)+IF(M108="x",1)-IF(M109="x",1)-B10+IF(C104="x",2)</f>
        <v>0</v>
      </c>
      <c r="C181" s="17">
        <v>0</v>
      </c>
      <c r="D181" s="12">
        <f>I3</f>
        <v>0</v>
      </c>
      <c r="E181" s="17">
        <v>0</v>
      </c>
      <c r="F181" s="40">
        <f>F142</f>
        <v>0</v>
      </c>
      <c r="G181" s="42"/>
      <c r="H181" s="40"/>
      <c r="I181" s="40"/>
      <c r="J181" s="17">
        <v>0</v>
      </c>
      <c r="AB181" s="55"/>
      <c r="AC181" s="50"/>
      <c r="AD181" s="50"/>
      <c r="AE181" s="50"/>
      <c r="AF181" s="50"/>
      <c r="AG181" s="50"/>
      <c r="AH181" s="50"/>
      <c r="AI181" s="50"/>
      <c r="AJ181" s="50"/>
      <c r="AK181" s="50"/>
      <c r="AL181" s="50"/>
    </row>
    <row r="182" spans="1:38" x14ac:dyDescent="0.2">
      <c r="A182" s="20" t="s">
        <v>89</v>
      </c>
      <c r="B182" s="40">
        <f>C182+D182+E182-F182+J182-IF(I76="x",1)+IF(C188&gt;=5,2)+IF(M119="x",2)+IF(M111="x",2)+IF(M112="x",4)+IF(M108="x",1)-IF(M109="x",1)-B10+IF(C113="x",2)</f>
        <v>0</v>
      </c>
      <c r="C182" s="17">
        <v>0</v>
      </c>
      <c r="D182" s="12">
        <f>I7</f>
        <v>0</v>
      </c>
      <c r="E182" s="17">
        <v>0</v>
      </c>
      <c r="F182" s="40"/>
      <c r="G182" s="42"/>
      <c r="H182" s="40"/>
      <c r="I182" s="40"/>
      <c r="J182" s="17">
        <v>0</v>
      </c>
      <c r="AB182" s="59"/>
      <c r="AC182" s="51"/>
      <c r="AD182" s="49"/>
      <c r="AE182" s="51"/>
      <c r="AF182" s="49"/>
      <c r="AG182" s="49"/>
      <c r="AH182" s="49"/>
      <c r="AI182" s="50"/>
      <c r="AJ182" s="50"/>
      <c r="AK182" s="50"/>
      <c r="AL182" s="50"/>
    </row>
    <row r="183" spans="1:38" x14ac:dyDescent="0.2">
      <c r="A183" s="20" t="s">
        <v>425</v>
      </c>
      <c r="B183" s="40" t="str">
        <f>IF(C183=0,"",C183+D183+E183-F183+J183-IF(I76="x",1)+IF(M119="x",2)+IF(M111="x",2)+IF(M112="x",4)+IF(M108="x",1)-IF(M109="x",1)-B10)</f>
        <v/>
      </c>
      <c r="C183" s="17">
        <v>0</v>
      </c>
      <c r="D183" s="12">
        <f>I5</f>
        <v>0</v>
      </c>
      <c r="E183" s="17">
        <v>0</v>
      </c>
      <c r="F183" s="40"/>
      <c r="G183" s="42"/>
      <c r="H183" s="40"/>
      <c r="I183" s="40"/>
      <c r="J183" s="17">
        <v>0</v>
      </c>
      <c r="AB183" s="62"/>
      <c r="AC183" s="53"/>
      <c r="AD183" s="49"/>
      <c r="AE183" s="51"/>
      <c r="AF183" s="49"/>
      <c r="AG183" s="49"/>
      <c r="AH183" s="53"/>
      <c r="AI183" s="50"/>
      <c r="AJ183" s="50"/>
      <c r="AK183" s="50"/>
      <c r="AL183" s="50"/>
    </row>
    <row r="184" spans="1:38" x14ac:dyDescent="0.2">
      <c r="A184" s="20" t="s">
        <v>90</v>
      </c>
      <c r="B184" s="40" t="str">
        <f>IF(C184=0,"",C184+D184+E184-F184+J184-IF(I76="x",1)+IF(M119="x",2)+IF(M111="x",2)+IF(M112="x",4)+IF(M108="x",1)-IF(M109="x",1)-B10)</f>
        <v/>
      </c>
      <c r="C184" s="17">
        <v>0</v>
      </c>
      <c r="D184" s="12">
        <f>I5</f>
        <v>0</v>
      </c>
      <c r="E184" s="17">
        <v>0</v>
      </c>
      <c r="F184" s="40"/>
      <c r="G184" s="42"/>
      <c r="H184" s="40"/>
      <c r="I184" s="40"/>
      <c r="J184" s="17">
        <v>0</v>
      </c>
      <c r="AB184" s="59"/>
      <c r="AC184" s="51"/>
      <c r="AD184" s="49"/>
      <c r="AE184" s="51"/>
      <c r="AF184" s="49"/>
      <c r="AG184" s="49"/>
      <c r="AH184" s="49"/>
    </row>
    <row r="185" spans="1:38" x14ac:dyDescent="0.2">
      <c r="A185" s="20" t="s">
        <v>91</v>
      </c>
      <c r="B185" s="40" t="str">
        <f>IF(C185=0,"",C185+D185+E185-F185+J185-IF(I76="x",1)+IF(M119="x",2)+IF(M111="x",2)+IF(M112="x",4)+IF(M108="x",1)-IF(M109="x",1)-B10)</f>
        <v/>
      </c>
      <c r="C185" s="17">
        <v>0</v>
      </c>
      <c r="D185" s="12">
        <f>I5</f>
        <v>0</v>
      </c>
      <c r="E185" s="17">
        <v>0</v>
      </c>
      <c r="F185" s="40"/>
      <c r="G185" s="42"/>
      <c r="H185" s="40"/>
      <c r="I185" s="40"/>
      <c r="J185" s="17">
        <v>0</v>
      </c>
      <c r="AB185" s="62"/>
      <c r="AC185" s="53"/>
      <c r="AD185" s="49"/>
      <c r="AE185" s="51"/>
      <c r="AF185" s="49"/>
      <c r="AG185" s="49"/>
      <c r="AH185" s="53"/>
    </row>
    <row r="186" spans="1:38" x14ac:dyDescent="0.2">
      <c r="A186" s="20" t="s">
        <v>92</v>
      </c>
      <c r="B186" s="40" t="str">
        <f>IF(C186=0,"",C186+D186+E186-F186+J186-IF(I76="x",1)+IF(D148&gt;=5,2)+IF(M119="x",2)+IF(M111="x",2)+IF(M112="x",4)+IF(M108="x",1)-IF(M109="x",1)-B10)</f>
        <v/>
      </c>
      <c r="C186" s="17">
        <v>0</v>
      </c>
      <c r="D186" s="12">
        <f>I5</f>
        <v>0</v>
      </c>
      <c r="E186" s="17">
        <v>0</v>
      </c>
      <c r="F186" s="40"/>
      <c r="G186" s="42"/>
      <c r="H186" s="40"/>
      <c r="I186" s="40"/>
      <c r="J186" s="17">
        <v>0</v>
      </c>
      <c r="AB186" s="59"/>
      <c r="AC186" s="51"/>
      <c r="AD186" s="49"/>
      <c r="AE186" s="51"/>
      <c r="AF186" s="49"/>
      <c r="AG186" s="49"/>
      <c r="AH186" s="49"/>
    </row>
    <row r="187" spans="1:38" x14ac:dyDescent="0.2">
      <c r="A187" s="20" t="s">
        <v>93</v>
      </c>
      <c r="B187" s="40" t="str">
        <f>IF(C187=0,"",C187+D187+E187-F187+J187-IF(I76="x",1)+IF(M119="x",2)+IF(M111="x",2)+IF(M112="x",4)+IF(M108="x",1)-IF(M109="x",1)-B10)</f>
        <v/>
      </c>
      <c r="C187" s="17">
        <v>0</v>
      </c>
      <c r="D187" s="12">
        <f>I5</f>
        <v>0</v>
      </c>
      <c r="E187" s="17">
        <v>0</v>
      </c>
      <c r="F187" s="40"/>
      <c r="G187" s="42"/>
      <c r="H187" s="40"/>
      <c r="I187" s="40"/>
      <c r="J187" s="17">
        <v>0</v>
      </c>
    </row>
    <row r="188" spans="1:38" x14ac:dyDescent="0.2">
      <c r="A188" s="20" t="s">
        <v>94</v>
      </c>
      <c r="B188" s="40" t="str">
        <f>IF(C188=0,"",C188+D188+E188-F188+J188-IF(I76="x",1)+IF(M119="x",2)+IF(M111="x",2)+IF(M112="x",4)+IF(M108="x",1)-IF(M109="x",1)-B10)</f>
        <v/>
      </c>
      <c r="C188" s="17">
        <v>0</v>
      </c>
      <c r="D188" s="12">
        <f>I5</f>
        <v>0</v>
      </c>
      <c r="E188" s="17">
        <v>0</v>
      </c>
      <c r="F188" s="40"/>
      <c r="G188" s="42"/>
      <c r="H188" s="40"/>
      <c r="I188" s="40"/>
      <c r="J188" s="17">
        <v>0</v>
      </c>
    </row>
    <row r="189" spans="1:38" x14ac:dyDescent="0.2">
      <c r="A189" s="20" t="s">
        <v>95</v>
      </c>
      <c r="B189" s="40" t="str">
        <f>IF(C189=0,"",C189+D189+E189-F189+J189-IF(I76="x",1)+IF(M119="x",2)+IF(M111="x",2)+IF(M112="x",4)+IF(M108="x",1)-IF(M109="x",1)-B10)</f>
        <v/>
      </c>
      <c r="C189" s="17">
        <v>0</v>
      </c>
      <c r="D189" s="12">
        <f>I5</f>
        <v>0</v>
      </c>
      <c r="E189" s="17">
        <v>0</v>
      </c>
      <c r="F189" s="40"/>
      <c r="G189" s="42"/>
      <c r="H189" s="40"/>
      <c r="I189" s="40"/>
      <c r="J189" s="17">
        <v>0</v>
      </c>
      <c r="AB189" s="115"/>
      <c r="AC189" s="116"/>
      <c r="AD189" s="116"/>
      <c r="AE189" s="116"/>
      <c r="AF189" s="116"/>
      <c r="AG189" s="116"/>
      <c r="AH189" s="116"/>
      <c r="AI189" s="48"/>
      <c r="AJ189" s="48"/>
      <c r="AK189" s="48"/>
      <c r="AL189" s="48"/>
    </row>
    <row r="190" spans="1:38" x14ac:dyDescent="0.2">
      <c r="A190" s="20" t="s">
        <v>96</v>
      </c>
      <c r="B190" s="40" t="str">
        <f>IF(C190=0,"",C190+D190+E190-F190+J190-IF(I76="x",1)+IF(M119="x",2)+IF(M111="x",2)+IF(M112="x",4)+IF(M108="x",1)-IF(M109="x",1)-B10)</f>
        <v/>
      </c>
      <c r="C190" s="17">
        <v>0</v>
      </c>
      <c r="D190" s="12">
        <f>I5</f>
        <v>0</v>
      </c>
      <c r="E190" s="17">
        <v>0</v>
      </c>
      <c r="F190" s="40"/>
      <c r="G190" s="42"/>
      <c r="H190" s="40"/>
      <c r="I190" s="40"/>
      <c r="J190" s="17">
        <v>0</v>
      </c>
      <c r="AB190" s="57"/>
      <c r="AC190" s="40"/>
      <c r="AD190" s="49"/>
      <c r="AE190" s="41"/>
      <c r="AF190" s="49"/>
      <c r="AG190" s="40"/>
      <c r="AH190" s="40"/>
      <c r="AI190" s="40"/>
      <c r="AJ190" s="40"/>
      <c r="AK190" s="40"/>
      <c r="AL190" s="40"/>
    </row>
    <row r="191" spans="1:38" x14ac:dyDescent="0.2">
      <c r="A191" s="20" t="s">
        <v>97</v>
      </c>
      <c r="B191" s="40" t="str">
        <f>IF(C191=0,"",C191+D191+E191-F191+J191-IF(I76="x",1)+IF(M119="x",2)+IF(M111="x",2)+IF(M112="x",4)+IF(M108="x",1)-IF(M109="x",1)-B10)</f>
        <v/>
      </c>
      <c r="C191" s="17">
        <v>0</v>
      </c>
      <c r="D191" s="12">
        <f>I5</f>
        <v>0</v>
      </c>
      <c r="E191" s="17">
        <v>0</v>
      </c>
      <c r="F191" s="40"/>
      <c r="G191" s="42"/>
      <c r="H191" s="40"/>
      <c r="I191" s="40"/>
      <c r="J191" s="17">
        <v>0</v>
      </c>
      <c r="AB191" s="47"/>
      <c r="AC191" s="113"/>
      <c r="AD191" s="114"/>
      <c r="AE191" s="113"/>
      <c r="AF191" s="114"/>
      <c r="AG191" s="114"/>
      <c r="AH191" s="114"/>
      <c r="AI191" s="48"/>
      <c r="AJ191" s="48"/>
      <c r="AK191" s="48"/>
      <c r="AL191" s="48"/>
    </row>
    <row r="192" spans="1:38" x14ac:dyDescent="0.2">
      <c r="A192" s="20" t="s">
        <v>98</v>
      </c>
      <c r="B192" s="40" t="str">
        <f>IF(C192=0,"",C192+D192+E192-F192+J192-IF(I76="x",1)+IF(M119="x",2)+IF(M111="x",2)+IF(M112="x",4)+IF(M108="x",1)-IF(M109="x",1)-B10)</f>
        <v/>
      </c>
      <c r="C192" s="17">
        <v>0</v>
      </c>
      <c r="D192" s="12">
        <f>I5</f>
        <v>0</v>
      </c>
      <c r="E192" s="17">
        <v>0</v>
      </c>
      <c r="F192" s="40"/>
      <c r="G192" s="42"/>
      <c r="H192" s="40"/>
      <c r="I192" s="40"/>
      <c r="J192" s="17">
        <v>0</v>
      </c>
      <c r="AB192" s="56"/>
      <c r="AC192" s="51"/>
      <c r="AD192" s="49"/>
      <c r="AE192" s="51"/>
      <c r="AF192" s="49"/>
      <c r="AG192" s="40"/>
      <c r="AH192" s="49"/>
      <c r="AI192" s="40"/>
      <c r="AJ192" s="40"/>
      <c r="AK192" s="40"/>
      <c r="AL192" s="40"/>
    </row>
    <row r="193" spans="1:38" x14ac:dyDescent="0.2">
      <c r="A193" s="20" t="s">
        <v>99</v>
      </c>
      <c r="B193" s="40" t="str">
        <f>IF(C193=0,"",C193+D193+E193-F193+J193-IF(I76="x",1)+IF(M119="x",2)+IF(M111="x",2)+IF(M112="x",4)+IF(M108="x",1)-IF(M109="x",1)-B10)</f>
        <v/>
      </c>
      <c r="C193" s="17">
        <v>0</v>
      </c>
      <c r="D193" s="12">
        <f>I5</f>
        <v>0</v>
      </c>
      <c r="E193" s="17">
        <v>0</v>
      </c>
      <c r="F193" s="40"/>
      <c r="G193" s="42"/>
      <c r="H193" s="40"/>
      <c r="I193" s="40"/>
      <c r="J193" s="17">
        <v>0</v>
      </c>
      <c r="AB193" s="56"/>
      <c r="AC193" s="49"/>
      <c r="AD193" s="49"/>
      <c r="AE193" s="51"/>
      <c r="AF193" s="49"/>
      <c r="AG193" s="40"/>
      <c r="AH193" s="49"/>
      <c r="AI193" s="48"/>
    </row>
    <row r="194" spans="1:38" x14ac:dyDescent="0.2">
      <c r="A194" s="20" t="s">
        <v>100</v>
      </c>
      <c r="B194" s="40" t="str">
        <f>IF(C194=0,"",C194+D194+E194-F194+J194-IF(I76="x",1)+IF(M119="x",2)+IF(M111="x",2)+IF(M112="x",4)+IF(M108="x",1)-IF(M109="x",1)-B10+IF(C110="x",2))</f>
        <v/>
      </c>
      <c r="C194" s="17">
        <v>0</v>
      </c>
      <c r="D194" s="12">
        <f>I3</f>
        <v>0</v>
      </c>
      <c r="E194" s="17">
        <v>0</v>
      </c>
      <c r="F194" s="40"/>
      <c r="G194" s="42"/>
      <c r="H194" s="40"/>
      <c r="I194" s="40"/>
      <c r="J194" s="17">
        <v>0</v>
      </c>
      <c r="AB194" s="52"/>
      <c r="AC194" s="53"/>
      <c r="AD194" s="54"/>
      <c r="AE194" s="53"/>
      <c r="AF194" s="54"/>
      <c r="AG194" s="54"/>
      <c r="AH194" s="54"/>
      <c r="AI194" s="40"/>
      <c r="AJ194" s="40"/>
      <c r="AL194" s="49"/>
    </row>
    <row r="195" spans="1:38" x14ac:dyDescent="0.2">
      <c r="A195" s="20" t="s">
        <v>101</v>
      </c>
      <c r="B195" s="40">
        <f>C195+D195+E195+F195+J195-IF(I76="x",1)+IF(M119="x",2)+IF(M111="x",2)+IF(M112="x",4)+IF(M108="x",1)-IF(M109="x",1)-B10+IF(C96="x",2)</f>
        <v>0</v>
      </c>
      <c r="C195" s="17">
        <v>0</v>
      </c>
      <c r="D195" s="12">
        <f>I2</f>
        <v>0</v>
      </c>
      <c r="E195" s="17">
        <v>0</v>
      </c>
      <c r="F195" s="40">
        <f>F142*2</f>
        <v>0</v>
      </c>
      <c r="G195" s="42" t="str">
        <f>IF(C94="x","+4 tainnuttavien vaurioiden välttäminen","")</f>
        <v/>
      </c>
      <c r="H195" s="40"/>
      <c r="I195" s="40"/>
      <c r="J195" s="17">
        <v>0</v>
      </c>
      <c r="AB195" s="55"/>
      <c r="AC195" s="50"/>
      <c r="AD195" s="56"/>
      <c r="AE195" s="56"/>
      <c r="AF195" s="56"/>
      <c r="AG195" s="56"/>
      <c r="AH195" s="56"/>
      <c r="AI195" s="56"/>
      <c r="AJ195" s="56"/>
      <c r="AK195" s="56"/>
      <c r="AL195" s="56"/>
    </row>
    <row r="196" spans="1:38" x14ac:dyDescent="0.2">
      <c r="A196" s="20" t="s">
        <v>102</v>
      </c>
      <c r="B196" s="40">
        <f>C196+D196+E196-F196+J196-IF(I76="x",1)+IF(M119="x",2)+IF(M111="x",2)+IF(M112="x",4)+IF(M108="x",1)-IF(M109="x",1)-B10+IF(C117="x",2)</f>
        <v>0</v>
      </c>
      <c r="C196" s="17">
        <v>0</v>
      </c>
      <c r="D196" s="12">
        <f>I5</f>
        <v>0</v>
      </c>
      <c r="E196" s="17">
        <v>0</v>
      </c>
      <c r="F196" s="40"/>
      <c r="G196" s="42"/>
      <c r="H196" s="40"/>
      <c r="I196" s="40"/>
      <c r="J196" s="17">
        <v>0</v>
      </c>
      <c r="AB196" s="59"/>
      <c r="AC196" s="51"/>
      <c r="AD196" s="49"/>
      <c r="AE196" s="51"/>
      <c r="AF196" s="49"/>
      <c r="AG196" s="49"/>
      <c r="AH196" s="49"/>
      <c r="AI196" s="56"/>
      <c r="AJ196" s="56"/>
      <c r="AK196" s="56"/>
      <c r="AL196" s="56"/>
    </row>
    <row r="197" spans="1:38" x14ac:dyDescent="0.2">
      <c r="A197" s="20" t="s">
        <v>103</v>
      </c>
      <c r="B197" s="40" t="str">
        <f>IF(C197=0,"",C197+D197+E197+F197+J197-IF(I76="x",1)+IF(M119="x",2)+IF(M111="x",2)+IF(M112="x",4)+IF(M108="x",1)-IF(M109="x",1)-B10+IF(C107="x",2))</f>
        <v/>
      </c>
      <c r="C197" s="17">
        <v>0</v>
      </c>
      <c r="D197" s="12">
        <f>I3</f>
        <v>0</v>
      </c>
      <c r="E197" s="17">
        <v>0</v>
      </c>
      <c r="F197" s="40">
        <f>F142</f>
        <v>0</v>
      </c>
      <c r="G197" s="42"/>
      <c r="H197" s="40"/>
      <c r="I197" s="40"/>
      <c r="J197" s="17">
        <v>0</v>
      </c>
      <c r="AB197" s="62"/>
      <c r="AC197" s="53"/>
      <c r="AD197" s="61"/>
      <c r="AE197" s="63"/>
      <c r="AF197" s="61"/>
      <c r="AG197" s="61"/>
      <c r="AH197" s="53"/>
      <c r="AI197" s="56"/>
      <c r="AJ197" s="56"/>
      <c r="AK197" s="56"/>
      <c r="AL197" s="56"/>
    </row>
    <row r="198" spans="1:38" x14ac:dyDescent="0.2">
      <c r="A198" s="81"/>
      <c r="B198" s="90"/>
      <c r="C198" s="90"/>
      <c r="D198" s="90"/>
      <c r="E198" s="81"/>
      <c r="F198" s="90"/>
      <c r="G198" s="90"/>
      <c r="H198" s="90"/>
      <c r="I198" s="90"/>
      <c r="J198" s="81"/>
      <c r="K198" s="81"/>
      <c r="L198" s="81"/>
      <c r="M198" s="81"/>
      <c r="N198" s="90"/>
      <c r="AB198" s="59"/>
      <c r="AC198" s="51"/>
      <c r="AD198" s="61"/>
      <c r="AE198" s="63"/>
      <c r="AF198" s="61"/>
      <c r="AG198" s="61"/>
      <c r="AH198" s="49"/>
      <c r="AI198" s="57"/>
      <c r="AJ198" s="57"/>
      <c r="AK198" s="57"/>
      <c r="AL198" s="57"/>
    </row>
    <row r="199" spans="1:38" x14ac:dyDescent="0.2">
      <c r="AB199" s="62"/>
      <c r="AC199" s="53"/>
      <c r="AD199" s="61"/>
      <c r="AE199" s="63"/>
      <c r="AF199" s="61"/>
      <c r="AG199" s="61"/>
      <c r="AH199" s="53"/>
      <c r="AI199" s="57"/>
      <c r="AJ199" s="57"/>
      <c r="AK199" s="57"/>
      <c r="AL199" s="57"/>
    </row>
    <row r="200" spans="1:38" x14ac:dyDescent="0.2">
      <c r="A200" s="34" t="s">
        <v>248</v>
      </c>
      <c r="B200" s="15"/>
      <c r="C200" s="15"/>
      <c r="D200" s="15"/>
      <c r="F200" s="15"/>
      <c r="G200" s="15"/>
      <c r="H200" s="15"/>
      <c r="I200" s="15"/>
      <c r="AB200" s="59"/>
      <c r="AC200" s="51"/>
      <c r="AD200" s="61"/>
      <c r="AE200" s="63"/>
      <c r="AF200" s="61"/>
      <c r="AG200" s="61"/>
      <c r="AH200" s="49"/>
      <c r="AI200" s="57"/>
      <c r="AJ200" s="57"/>
      <c r="AK200" s="57"/>
      <c r="AL200" s="57"/>
    </row>
    <row r="201" spans="1:38" s="118" customFormat="1" x14ac:dyDescent="0.2"/>
    <row r="202" spans="1:38" x14ac:dyDescent="0.2">
      <c r="A202" s="10" t="s">
        <v>279</v>
      </c>
      <c r="B202" s="11" t="s">
        <v>1</v>
      </c>
      <c r="C202" s="11" t="s">
        <v>2</v>
      </c>
      <c r="D202" s="11" t="s">
        <v>3</v>
      </c>
      <c r="E202" s="11" t="s">
        <v>229</v>
      </c>
      <c r="F202" s="11" t="s">
        <v>3</v>
      </c>
      <c r="G202" s="11" t="s">
        <v>45</v>
      </c>
      <c r="H202" s="14" t="s">
        <v>179</v>
      </c>
      <c r="I202" s="11" t="s">
        <v>242</v>
      </c>
      <c r="J202" s="11" t="s">
        <v>224</v>
      </c>
      <c r="K202" s="11" t="s">
        <v>225</v>
      </c>
      <c r="AB202" s="50"/>
      <c r="AC202" s="50"/>
      <c r="AD202" s="50"/>
      <c r="AE202" s="50"/>
      <c r="AF202" s="50"/>
      <c r="AG202" s="50"/>
      <c r="AH202" s="50"/>
      <c r="AI202" s="50"/>
      <c r="AJ202" s="50"/>
      <c r="AK202" s="50"/>
      <c r="AL202" s="50"/>
    </row>
    <row r="203" spans="1:38" x14ac:dyDescent="0.2">
      <c r="A203" s="15" t="s">
        <v>219</v>
      </c>
      <c r="B203" s="12">
        <f>IF($I$85="x","PAINISSA",IF($C$3&lt;=5,SUM($C$3,$I$2)-$C$120+IF($C$75="x",2)+$I$16-$B$10+$M$94+IF($C$77="x",2)-IF($C$78="x",4)-IF($I$78="x",1)-IF($C$79="x",4)+IF($C$80="x",1)-IF($I$77="x",2)-IF($I$90="x",2)+IF($I$83="x",2)-IF($C$75="x",4)-$C$112+IF(H203="x",1)+I203+$M$77+IF(H205="x",1)+IF(J205="x",1)+IF($M$76="x",2)+J203+IF($M$85="x",1)+IF($M$113="x",1)+IF($M$120="x",2)+IF($M$119="x",2)+IF($M$105="x",1)+IF($M$110="x",1)+IF($M$111="x",2)+IF($M$112="x",4)+IF($M$108="x",1)-IF($M$109="x",1)-IF($M$99="x",1)+IF($M$90="x",1),
IF(AND($C$3&gt;5,$C$3&lt;11),SUM($C$3,$I$2)-$C$120+IF($C$75="x",2)+$I$16-$B$10+$M$94+IF($C$77="x",2)-IF($C$78="x",4)-IF($I$78="x",1)-IF($C$79="x",4)+IF($C$80="x",1)-IF($I$77="x",2)-IF($I$90="x",2)+IF($I$83="x",2)-IF($C$83="x",4)-$C$112+IF(H203="x",1)+I203+$M$77+IF(H205="x",1)+IF(J205="x",1)+IF($M$76="x",2)+J203+IF($M$85="x",1)+IF($M$113="x",1)+IF($M$120="x",2)+IF($M$119="x",2)+IF($M$105="x",1)+IF($M$110="x",1)+IF($M$111="x",2)+IF($M$112="x",4)+IF($M$108="x",1)-IF($M$109="x",1)-IF($M$99="x",1)+IF($M$90="x",1)
&amp;"/"&amp;SUM($C$3,$I$2)-$C$120+IF($C$75="x",2)+$I$16-$B$10+$M$94+IF($C$77="x",2)-IF($C$78="x",4)-IF($I$78="x",1)-IF($C$79="x",4)+IF($C$80="x",1)-IF($I$77="x",2)-IF($I$90="x",2)+IF($I$83="x",2)-IF($C$83="x",4)-$C$112-5+IF(H203="x",1)+I203+$M$77+IF(H205="x",1)+IF(J205="x",1)+IF($M$76="x",2)+J203+IF($M$85="x",1)+IF($M$113="x",1)+IF($M$120="x",2)+IF($M$119="x",2)+IF($M$105="x",1)+IF($M$110="x",1)+IF($M$111="x",2)+IF($M$112="x",4)+IF($M$108="x",1)-IF($M$109="x",1)-IF($M$99="x",1)+IF($M$90="x",1),
IF(AND($C$3&gt;10,$C$3&lt;16),SUM($C$3,$I$2)-$C$120+IF($C$75="x",2)+$I$16-$B$10+$M$94+IF($C$77="x",2)-IF($C$78="x",4)-IF($I$78="x",1)-IF($C$79="x",4)+IF($C$80="x",1)-IF($I$77="x",2)-IF($I$90="x",2)+IF($I$83="x",2)-IF($C$83="x",4)-$C$112+IF(H203="x",1)+I203+$M$77+IF(H205="x",1)+IF(J205="x",1)+IF($M$76="x",2)+J203+IF($M$85="x",1)+IF($M$113="x",1)+IF($M$120="x",2)+IF($M$119="x",2)+IF($M$105="x",1)+IF($M$110="x",1)+IF($M$111="x",2)+IF($M$112="x",4)+IF($M$108="x",1)-IF($M$109="x",1)+IF($M$99="x",20)-IF($M$99="x",1)+IF($M$90="x",1)
&amp;"/"&amp;SUM($C$3,$I$2)-$C$120+IF($C$75="x",2)+$I$16-$B$10+$M$94+IF($C$77="x",2)-IF($C$78="x",4)-IF($I$78="x",1)-IF($C$79="x",4)+IF($C$80="x",1)-IF($I$77="x",2)-IF($I$90="x",2)+IF($I$83="x",2)-IF($C$83="x",4)-$C$112-5+IF(H203="x",1)+I203+$M$77+IF(H205="x",1)+IF(J205="x",1)+IF($M$76="x",2)+J203+IF($M$85="x",1)+IF($M$113="x",1)+IF($M$120="x",2)+IF($M$119="x",2)+IF($M$105="x",1)+IF($M$110="x",1)+IF($M$111="x",2)+IF($M$112="x",4)+IF($M$108="x",1)-IF($M$109="x",1)-IF($M$99="x",1)+IF($M$90="x",1)
&amp;"/"&amp;SUM($C$3,$I$2)-$C$120+IF($C$75="x",2)+$I$16-$B$10+$M$94+IF($C$77="x",2)-IF($C$78="x",4)-IF($I$78="x",1)-IF($C$79="x",4)+IF($C$80="x",1)-IF($I$77="x",2)-IF($I$90="x",2)+IF($I$83="x",2)-IF($C$83="x",4)-$C$112-10+IF(H203="x",1)+I203+$M$77+IF(H205="x",1)+IF(J205="x",1)+IF($M$76="x",2)+J203+IF($M$85="x",1)+IF($M$113="x",1)+IF($M$120="x",2)+IF($M$119="x",2)+IF($M$105="x",1)+IF($M$110="x",1)+IF($M$111="x",2)+IF($M$112="x",4)+IF($M$108="x",1)-IF($M$109="x",1)-IF($M$99="x",1)+IF($M$90="x",1),
IF(AND($C$3&gt;15),SUM($C$3,$I$2)-$C$120+IF($C$75="x",2)+$I$16-$B$10+$M$94+IF($C$77="x",2)-IF($C$78="x",4)-IF($I$78="x",1)-IF($C$79="x",4)+IF($C$80="x",1)-IF($I$77="x",2)-IF($I$90="x",2)+IF($I$83="x",2)-IF($C$83="x",4)-$C$112+IF(H203="x",1)+I203+$M$77+IF(H205="x",1)+IF(J205="x",1)+IF($M$76="x",2)+J203+IF($M$85="x",1)+IF($M$113="x",1)+IF($M$120="x",2)+IF($M$119="x",2)+IF($M$105="x",1)+IF($M$110="x",1)+IF($M$111="x",2)+IF($M$112="x",4)+IF($M$108="x",1)-IF($M$109="x",1)-IF($M$99="x",1)+IF($M$90="x",1)
&amp;"/"&amp;SUM($C$3,$I$2)-$C$120+IF($C$75="x",2)+$I$16-$B$10+$M$94+IF($C$77="x",2)-IF($C$78="x",4)-IF($I$78="x",1)-IF($C$79="x",4)+IF($C$80="x",1)-IF($I$77="x",2)-IF($I$90="x",2)+IF($I$83="x",2)-IF($C$83="x",4)-$C$112-5+IF(H203="x",1)+I203+$M$77+IF(H205="x",1)+IF(J205="x",1)+IF($M$76="x",2)+J203+IF($M$85="x",1)+IF($M$113="x",1)+IF($M$120="x",2)+IF($M$119="x",2)+IF($M$105="x",1)+IF($M$110="x",1)+IF($M$111="x",2)+IF($M$112="x",4)+IF($M$108="x",1)-IF($M$109="x",1)-IF($M$99="x",1)+IF($M$90="x",1)
&amp;"/"&amp;SUM($C$3,$I$2)-$C$120+IF($C$75="x",2)+$I$16-$B$10+$M$94+IF($C$77="x",2)-IF($C$78="x",4)-IF($I$78="x",1)-IF($C$79="x",4)+IF($C$80="x",1)-IF($I$77="x",2)-IF($I$90="x",2)+IF($I$83="x",2)-IF($C$83="x",4)-$C$112-10+IF(H203="x",1)+I203+$M$77+IF(H205="x",1)+IF(J205="x",1)+IF($M$76="x",2)+J203+IF($M$85="x",1)+IF($M$113="x",1)+IF($M$120="x",2)+IF($M$119="x",2)+IF($M$105="x",1)+IF($M$110="x",1)+IF($M$111="x",2)+IF($M$112="x",4)+IF($M$108="x",1)-IF($M$109="x",1)-IF($M$99="x",1)+IF($M$90="x",1)
&amp;"/"&amp;SUM($C$3,$I$2)-$C$120+IF($C$75="x",2)+$I$16-$B$10+$M$94+IF($C$77="x",2)-IF($C$78="x",4)-IF($I$78="x",1)-IF($C$79="x",4)+IF($C$80="x",1)-IF($I$77="x",2)-IF($I$90="x",2)+IF($I$83="x",2)-IF($C$83="x",4)-$C$112-15+IF(H203="x",1)+I203+$M$77+IF(H205="x",1)+IF(J205="x",1)+IF($M$76="x",2)+J203+IF($M$85="x",1)+IF($M$113="x",1)+IF($M$120="x",2)+IF($M$119="x",2)+IF($M$105="x",1)+IF($M$110="x",1)+IF($M$111="x",2)+IF($M$112="x",4)+IF($M$108="x",1)-IF($M$109="x",1)-IF($M$99="x",1)+IF($M$90="x",1))))))</f>
        <v>0</v>
      </c>
      <c r="C203" s="49" t="str">
        <f>_xlfn.IFS($C$7="Minimaalinen","1",$C$7="Taskukokoinen","1n2",$C$7="Hyvin pieni","1n3",$C$7="Pieni","1n4",$C$7="Keskikokoinen","1n6",$C$7="Iso","1n8",$C$7="Valtava","2n6",$C$7="Suunnaton","3n6",$C$7="Giganttinen","4n6")</f>
        <v>1n6</v>
      </c>
      <c r="D203" s="18">
        <f>SUM($I$2+$C$120)+I203+$M$77+IF(I205="x",2)+IF(K205="x",2)+IF($M$119="x",2)+IF($M$108="x",1)+$M$94-IF($M$109="x",1)+K203</f>
        <v>0</v>
      </c>
      <c r="E203" s="49" t="str">
        <f>_xlfn.IFS($C$7="Minimaalinen","2",$C$7="Taskukokoinen","2n2",$C$7="Hyvin pieni","2n3",$C$7="Pieni","2n4",$C$7="Keskikokoinen","2n6",$C$7="Iso","2n8",$C$7="Valtava","4n6",$C$7="Suunnaton","6n6",$C$7="Giganttinen","8n6")</f>
        <v>2n6</v>
      </c>
      <c r="F203" s="12">
        <f>SUM(D203*2)</f>
        <v>0</v>
      </c>
      <c r="G203" s="12" t="str">
        <f>(IF($I$89="x","50 %","")&amp;(IF($C$81="x","20 %",""))&amp;(IF($C$82="x","50 %","")))</f>
        <v/>
      </c>
      <c r="H203" s="28"/>
      <c r="I203" s="17">
        <v>0</v>
      </c>
      <c r="J203" s="17">
        <v>0</v>
      </c>
      <c r="K203" s="17">
        <v>0</v>
      </c>
      <c r="AB203" s="50"/>
      <c r="AC203" s="50"/>
      <c r="AD203" s="50"/>
      <c r="AE203" s="50"/>
      <c r="AF203" s="50"/>
      <c r="AG203" s="50"/>
      <c r="AH203" s="50"/>
      <c r="AI203" s="50"/>
      <c r="AJ203" s="50"/>
      <c r="AK203" s="50"/>
      <c r="AL203" s="50"/>
    </row>
    <row r="204" spans="1:38" x14ac:dyDescent="0.2">
      <c r="A204" s="58" t="s">
        <v>8</v>
      </c>
      <c r="B204" s="119">
        <f>IF($I$85="x","PAINISSA",IF($C$3&lt;=5,SUM($C$3,$I$2)-$C$120+IF($C$75="x",2)+$I$16-$B$10+$M$94+IF($C$77="x",2)-IF($C$78="x",4)-IF($I$78="x",1)-IF($C$79="x",4)+IF($C$80="x",1)-IF($I$77="x",2)-IF($I$90="x",2)+IF($I$83="x",2)-IF($C$75="x",4)-$C$112+IF(H203="x",1)+I203+$M$77+IF(H205="x",1)+IF(J205="x",1)+IF($M$76="x",2)+J203+IF($M$85="x",1)+IF($M$113="x",1)+IF($M$120="x",2)+IF($M$119="x",2)+IF($M$105="x",1)+IF($M$110="x",1)+IF($M$111="x",2)+IF($M$112="x",4)+IF($M$108="x",1)-IF($M$109="x",1)-IF($M$99="x",1)+IF($M$90="x",1),
IF(AND($C$3&gt;5,$C$3&lt;11),SUM($C$3,$I$2)-$C$120+IF($C$75="x",2)+$I$16-$B$10+$M$94+IF($C$77="x",2)-IF($C$78="x",4)-IF($I$78="x",1)-IF($C$79="x",4)+IF($C$80="x",1)-IF($I$77="x",2)-IF($I$90="x",2)+IF($I$83="x",2)-IF($C$83="x",4)-$C$112+IF(H203="x",1)+I203+$M$77+IF(H205="x",1)+IF(J205="x",1)+IF($M$76="x",2)+J203+IF($M$85="x",1)+IF($M$113="x",1)+IF($M$120="x",2)+IF($M$119="x",2)+IF($M$105="x",1)+IF($M$110="x",1)+IF($M$111="x",2)+IF($M$112="x",4)+IF($M$108="x",1)-IF($M$109="x",1)-IF($M$99="x",1)+IF($M$90="x",1)
&amp;"/"&amp;SUM($C$3,$I$2)-$C$120+IF($C$75="x",2)+$I$16-$B$10+$M$94+IF($C$77="x",2)-IF($C$78="x",4)-IF($I$78="x",1)-IF($C$79="x",4)+IF($C$80="x",1)-IF($I$77="x",2)-IF($I$90="x",2)+IF($I$83="x",2)-IF($C$83="x",4)-$C$112-5+IF(H203="x",1)+I203+$M$77+IF(H205="x",1)+IF(J205="x",1)+IF($M$76="x",2)+J203+IF($M$85="x",1)+IF($M$113="x",1)+IF($M$120="x",2)+IF($M$119="x",2)+IF($M$105="x",1)+IF($M$110="x",1)+IF($M$111="x",2)+IF($M$112="x",4)+IF($M$108="x",1)-IF($M$109="x",1)-IF($M$99="x",1)+IF($M$90="x",1),
IF(AND($C$3&gt;10,$C$3&lt;16),SUM($C$3,$I$2)-$C$120+IF($C$75="x",2)+$I$16-$B$10+$M$94+IF($C$77="x",2)-IF($C$78="x",4)-IF($I$78="x",1)-IF($C$79="x",4)+IF($C$80="x",1)-IF($I$77="x",2)-IF($I$90="x",2)+IF($I$83="x",2)-IF($C$83="x",4)-$C$112+IF(H203="x",1)+I203+$M$77+IF(H205="x",1)+IF(J205="x",1)+IF($M$76="x",2)+J203+IF($M$85="x",1)+IF($M$113="x",1)+IF($M$120="x",2)+IF($M$119="x",2)+IF($M$105="x",1)+IF($M$110="x",1)+IF($M$111="x",2)+IF($M$112="x",4)+IF($M$108="x",1)-IF($M$109="x",1)+IF($M$99="x",20)-IF($M$99="x",1)+IF($M$90="x",1)
&amp;"/"&amp;SUM($C$3,$I$2)-$C$120+IF($C$75="x",2)+$I$16-$B$10+$M$94+IF($C$77="x",2)-IF($C$78="x",4)-IF($I$78="x",1)-IF($C$79="x",4)+IF($C$80="x",1)-IF($I$77="x",2)-IF($I$90="x",2)+IF($I$83="x",2)-IF($C$83="x",4)-$C$112-5+IF(H203="x",1)+I203+$M$77+IF(H205="x",1)+IF(J205="x",1)+IF($M$76="x",2)+J203+IF($M$85="x",1)+IF($M$113="x",1)+IF($M$120="x",2)+IF($M$119="x",2)+IF($M$105="x",1)+IF($M$110="x",1)+IF($M$111="x",2)+IF($M$112="x",4)+IF($M$108="x",1)-IF($M$109="x",1)-IF($M$99="x",1)+IF($M$90="x",1)
&amp;"/"&amp;SUM($C$3,$I$2)-$C$120+IF($C$75="x",2)+$I$16-$B$10+$M$94+IF($C$77="x",2)-IF($C$78="x",4)-IF($I$78="x",1)-IF($C$79="x",4)+IF($C$80="x",1)-IF($I$77="x",2)-IF($I$90="x",2)+IF($I$83="x",2)-IF($C$83="x",4)-$C$112-10+IF(H203="x",1)+I203+$M$77+IF(H205="x",1)+IF(J205="x",1)+IF($M$76="x",2)+J203+IF($M$85="x",1)+IF($M$113="x",1)+IF($M$120="x",2)+IF($M$119="x",2)+IF($M$105="x",1)+IF($M$110="x",1)+IF($M$111="x",2)+IF($M$112="x",4)+IF($M$108="x",1)-IF($M$109="x",1)-IF($M$99="x",1)+IF($M$90="x",1),
IF(AND($C$3&gt;15),SUM($C$3,$I$2)-$C$120+IF($C$75="x",2)+$I$16-$B$10+$M$94+IF($C$77="x",2)-IF($C$78="x",4)-IF($I$78="x",1)-IF($C$79="x",4)+IF($C$80="x",1)-IF($I$77="x",2)-IF($I$90="x",2)+IF($I$83="x",2)-IF($C$83="x",4)-$C$112+IF(H203="x",1)+I203+$M$77+IF(H205="x",1)+IF(J205="x",1)+IF($M$76="x",2)+J203+IF($M$85="x",1)+IF($M$113="x",1)+IF($M$120="x",2)+IF($M$119="x",2)+IF($M$105="x",1)+IF($M$110="x",1)+IF($M$111="x",2)+IF($M$112="x",4)+IF($M$108="x",1)-IF($M$109="x",1)-IF($M$99="x",1)+IF($M$90="x",1)
&amp;"/"&amp;SUM($C$3,$I$2)-$C$120+IF($C$75="x",2)+$I$16-$B$10+$M$94+IF($C$77="x",2)-IF($C$78="x",4)-IF($I$78="x",1)-IF($C$79="x",4)+IF($C$80="x",1)-IF($I$77="x",2)-IF($I$90="x",2)+IF($I$83="x",2)-IF($C$83="x",4)-$C$112-5+IF(H203="x",1)+I203+$M$77+IF(H205="x",1)+IF(J205="x",1)+IF($M$76="x",2)+J203+IF($M$85="x",1)+IF($M$113="x",1)+IF($M$120="x",2)+IF($M$119="x",2)+IF($M$105="x",1)+IF($M$110="x",1)+IF($M$111="x",2)+IF($M$112="x",4)+IF($M$108="x",1)-IF($M$109="x",1)-IF($M$99="x",1)+IF($M$90="x",1)
&amp;"/"&amp;SUM($C$3,$I$2)-$C$120+IF($C$75="x",2)+$I$16-$B$10+$M$94+IF($C$77="x",2)-IF($C$78="x",4)-IF($I$78="x",1)-IF($C$79="x",4)+IF($C$80="x",1)-IF($I$77="x",2)-IF($I$90="x",2)+IF($I$83="x",2)-IF($C$83="x",4)-$C$112-10+IF(H203="x",1)+I203+$M$77+IF(H205="x",1)+IF(J205="x",1)+IF($M$76="x",2)+J203+IF($M$85="x",1)+IF($M$113="x",1)+IF($M$120="x",2)+IF($M$119="x",2)+IF($M$105="x",1)+IF($M$110="x",1)+IF($M$111="x",2)+IF($M$112="x",4)+IF($M$108="x",1)-IF($M$109="x",1)-IF($M$99="x",1)+IF($M$90="x",1)
&amp;"/"&amp;SUM($C$3,$I$2)-$C$120+IF($C$75="x",2)+$I$16-$B$10+$M$94+IF($C$77="x",2)-IF($C$78="x",4)-IF($I$78="x",1)-IF($C$79="x",4)+IF($C$80="x",1)-IF($I$77="x",2)-IF($I$90="x",2)+IF($I$83="x",2)-IF($C$83="x",4)-$C$112-15+IF(H203="x",1)+I203+$M$77+IF(H205="x",1)+IF(J205="x",1)+IF($M$76="x",2)+J203+IF($M$85="x",1)+IF($M$113="x",1)+IF($M$120="x",2)+IF($M$119="x",2)+IF($M$105="x",1)+IF($M$110="x",1)+IF($M$111="x",2)+IF($M$112="x",4)+IF($M$108="x",1)-IF($M$109="x",1)-IF($M$99="x",1)+IF($M$90="x",1))))))</f>
        <v>0</v>
      </c>
      <c r="C204" s="114" t="str">
        <f>_xlfn.IFS($C$7="Minimaalinen","1",$C$7="Taskukokoinen","1n2",$C$7="Hyvin pieni","1n3",$C$7="Pieni","1n4",$C$7="Keskikokoinen","1n6",$C$7="Iso","1n8",$C$7="Valtava","2n6",$C$7="Suunnaton","3n6",$C$7="Giganttinen","4n6")</f>
        <v>1n6</v>
      </c>
      <c r="D204" s="119">
        <f>IF($I$2&lt;0,$I$2,INT($I$2*1.5))+($C$120*2)+I203+$M$77+IF(I205="x",2)+IF(K205="x",2)+IF($M$119="x",2)+IF($M$108="x",1)+$M$94-IF($M$109="x",1)+K203</f>
        <v>0</v>
      </c>
      <c r="E204" s="114" t="str">
        <f>_xlfn.IFS($C$7="Minimaalinen","2",$C$7="Taskukokoinen","2n2",$C$7="Hyvin pieni","2n3",$C$7="Pieni","2n4",$C$7="Keskikokoinen","2n6",$C$7="Iso","2n8",$C$7="Valtava","4n6",$C$7="Suunnaton","6n6",$C$7="Giganttinen","8n6")</f>
        <v>2n6</v>
      </c>
      <c r="F204" s="120">
        <f>SUM(D204*2)</f>
        <v>0</v>
      </c>
      <c r="G204" s="120" t="str">
        <f>(IF($I$89="x","50 %","")&amp;(IF($C$81="x","20 %",""))&amp;(IF($C$82="x","50 %","")))</f>
        <v/>
      </c>
      <c r="H204" s="14" t="s">
        <v>220</v>
      </c>
      <c r="I204" s="14" t="s">
        <v>221</v>
      </c>
      <c r="J204" s="14" t="s">
        <v>222</v>
      </c>
      <c r="K204" s="14" t="s">
        <v>223</v>
      </c>
      <c r="AB204" s="115"/>
      <c r="AC204" s="116"/>
      <c r="AD204" s="116"/>
      <c r="AE204" s="116"/>
      <c r="AF204" s="116"/>
      <c r="AG204" s="116"/>
      <c r="AH204" s="116"/>
      <c r="AI204" s="48"/>
      <c r="AJ204" s="48"/>
      <c r="AK204" s="48"/>
      <c r="AL204" s="48"/>
    </row>
    <row r="205" spans="1:38" x14ac:dyDescent="0.2">
      <c r="A205" s="25" t="s">
        <v>438</v>
      </c>
      <c r="B205" s="121">
        <f>IF($I$85="x","PAINISSA",IF($C$3&lt;=5,SUM($C$3,$I$2)-$C$120+IF($C$75="x",2)+$I$16-$B$10+$M$94+IF($C$77="x",2)-IF($C$78="x",4)-IF($I$78="x",1)-IF($C$79="x",4)+IF($C$80="x",1)-IF($I$77="x",2)-IF($I$90="x",2)+IF($I$83="x",2)-IF($C$75="x",4)-$C$112+IF(H203="x",1)+I203+$M$77+IF(H205="x",1)+IF(J205="x",1)+IF($M$76="x",2)+J203+IF($M$85="x",1)+IF($M$113="x",1)+IF($M$120="x",2)+IF($M$119="x",2)+IF($M$105="x",1)+IF($M$110="x",1)+IF($M$111="x",2)+IF($M$112="x",4)+IF($M$108="x",1)-IF($M$109="x",1)-IF($M$99="x",1)+IF($M$90="x",1)-IF($C$97="x",2,4),
IF(AND($C$3&gt;5,$C$3&lt;11),SUM($C$3,$I$2)-$C$120+IF($C$75="x",2)+$I$16-$B$10+$M$94+IF($C$77="x",2)-IF($C$78="x",4)-IF($I$78="x",1)-IF($C$79="x",4)+IF($C$80="x",1)-IF($I$77="x",2)-IF($I$90="x",2)+IF($I$83="x",2)-IF($C$83="x",4)-$C$112+IF(H203="x",1)+I203+$M$77+IF(H205="x",1)+IF(J205="x",1)+IF($M$76="x",2)+J203+IF($M$85="x",1)+IF($M$113="x",1)+IF($M$120="x",2)+IF($M$119="x",2)+IF($M$105="x",1)+IF($M$110="x",1)+IF($M$111="x",2)+IF($M$112="x",4)+IF($M$108="x",1)-IF($M$109="x",1)-IF($M$99="x",1)+IF($M$90="x",1)-IF($C$97="x",2,4)
&amp;"/"&amp;SUM($C$3,$I$2)-$C$120+IF($C$75="x",2)+$I$16-$B$10+$M$94+IF($C$77="x",2)-IF($C$78="x",4)-IF($I$78="x",1)-IF($C$79="x",4)+IF($C$80="x",1)-IF($I$77="x",2)-IF($I$90="x",2)+IF($I$83="x",2)-IF($C$83="x",4)-$C$112-5+IF(H203="x",1)+I203+$M$77+IF(H205="x",1)+IF(J205="x",1)+IF($M$76="x",2)+J203+IF($M$85="x",1)+IF($M$113="x",1)+IF($M$120="x",2)+IF($M$119="x",2)+IF($M$105="x",1)+IF($M$110="x",1)+IF($M$111="x",2)+IF($M$112="x",4)+IF($M$108="x",1)-IF($M$109="x",1)-IF($M$99="x",1)+IF($M$90="x",1)-IF($C$97="x",2,4),
IF(AND($C$3&gt;10,$C$3&lt;16),SUM($C$3,$I$2)-$C$120+IF($C$75="x",2)+$I$16-$B$10+$M$94+IF($C$77="x",2)-IF($C$78="x",4)-IF($I$78="x",1)-IF($C$79="x",4)+IF($C$80="x",1)-IF($I$77="x",2)-IF($I$90="x",2)+IF($I$83="x",2)-IF($C$83="x",4)-$C$112+IF(H203="x",1)+I203+$M$77+IF(H205="x",1)+IF(J205="x",1)+IF($M$76="x",2)+J203+IF($M$85="x",1)+IF($M$113="x",1)+IF($M$120="x",2)+IF($M$119="x",2)+IF($M$105="x",1)+IF($M$110="x",1)+IF($M$111="x",2)+IF($M$112="x",4)+IF($M$108="x",1)-IF($M$109="x",1)+IF($M$99="x",20)-IF($M$99="x",1)+IF($M$90="x",1)-IF($C$97="x",2,4)
&amp;"/"&amp;SUM($C$3,$I$2)-$C$120+IF($C$75="x",2)+$I$16-$B$10+$M$94+IF($C$77="x",2)-IF($C$78="x",4)-IF($I$78="x",1)-IF($C$79="x",4)+IF($C$80="x",1)-IF($I$77="x",2)-IF($I$90="x",2)+IF($I$83="x",2)-IF($C$83="x",4)-$C$112-5+IF(H203="x",1)+I203+$M$77+IF(H205="x",1)+IF(J205="x",1)+IF($M$76="x",2)+J203+IF($M$85="x",1)+IF($M$113="x",1)+IF($M$120="x",2)+IF($M$119="x",2)+IF($M$105="x",1)+IF($M$110="x",1)+IF($M$111="x",2)+IF($M$112="x",4)+IF($M$108="x",1)-IF($M$109="x",1)-IF($M$99="x",1)+IF($M$90="x",1)-IF($C$97="x",2,4)
&amp;"/"&amp;SUM($C$3,$I$2)-$C$120+IF($C$75="x",2)+$I$16-$B$10+$M$94+IF($C$77="x",2)-IF($C$78="x",4)-IF($I$78="x",1)-IF($C$79="x",4)+IF($C$80="x",1)-IF($I$77="x",2)-IF($I$90="x",2)+IF($I$83="x",2)-IF($C$83="x",4)-$C$112-10+IF(H203="x",1)+I203+$M$77+IF(H205="x",1)+IF(J205="x",1)+IF($M$76="x",2)+J203+IF($M$85="x",1)+IF($M$113="x",1)+IF($M$120="x",2)+IF($M$119="x",2)+IF($M$105="x",1)+IF($M$110="x",1)+IF($M$111="x",2)+IF($M$112="x",4)+IF($M$108="x",1)-IF($M$109="x",1)-IF($M$99="x",1)+IF($M$90="x",1)-IF($C$97="x",2,4),
IF(AND($C$3&gt;15),SUM($C$3,$I$2)-$C$120+IF($C$75="x",2)+$I$16-$B$10+$M$94+IF($C$77="x",2)-IF($C$78="x",4)-IF($I$78="x",1)-IF($C$79="x",4)+IF($C$80="x",1)-IF($I$77="x",2)-IF($I$90="x",2)+IF($I$83="x",2)-IF($C$83="x",4)-$C$112+IF(H203="x",1)+I203+$M$77+IF(H205="x",1)+IF(J205="x",1)+IF($M$76="x",2)+J203+IF($M$85="x",1)+IF($M$113="x",1)+IF($M$120="x",2)+IF($M$119="x",2)+IF($M$105="x",1)+IF($M$110="x",1)+IF($M$111="x",2)+IF($M$112="x",4)+IF($M$108="x",1)-IF($M$109="x",1)-IF($M$99="x",1)+IF($M$90="x",1)-IF($C$97="x",2,4)
&amp;"/"&amp;SUM($C$3,$I$2)-$C$120+IF($C$75="x",2)+$I$16-$B$10+$M$94+IF($C$77="x",2)-IF($C$78="x",4)-IF($I$78="x",1)-IF($C$79="x",4)+IF($C$80="x",1)-IF($I$77="x",2)-IF($I$90="x",2)+IF($I$83="x",2)-IF($C$83="x",4)-$C$112-5+IF(H203="x",1)+I203+$M$77+IF(H205="x",1)+IF(J205="x",1)+IF($M$76="x",2)+J203+IF($M$85="x",1)+IF($M$113="x",1)+IF($M$120="x",2)+IF($M$119="x",2)+IF($M$105="x",1)+IF($M$110="x",1)+IF($M$111="x",2)+IF($M$112="x",4)+IF($M$108="x",1)-IF($M$109="x",1)-IF($M$99="x",1)+IF($M$90="x",1)-IF($C$97="x",2,4)
&amp;"/"&amp;SUM($C$3,$I$2)-$C$120+IF($C$75="x",2)+$I$16-$B$10+$M$94+IF($C$77="x",2)-IF($C$78="x",4)-IF($I$78="x",1)-IF($C$79="x",4)+IF($C$80="x",1)-IF($I$77="x",2)-IF($I$90="x",2)+IF($I$83="x",2)-IF($C$83="x",4)-$C$112-10+IF(H203="x",1)+I203+$M$77+IF(H205="x",1)+IF(J205="x",1)+IF($M$76="x",2)+J203+IF($M$85="x",1)+IF($M$113="x",1)+IF($M$120="x",2)+IF($M$119="x",2)+IF($M$105="x",1)+IF($M$110="x",1)+IF($M$111="x",2)+IF($M$112="x",4)+IF($M$108="x",1)-IF($M$109="x",1)-IF($M$99="x",1)+IF($M$90="x",1)-IF($C$97="x",2,4)
&amp;"/"&amp;SUM($C$3,$I$2)-$C$120+IF($C$75="x",2)+$I$16-$B$10+$M$94+IF($C$77="x",2)-IF($C$78="x",4)-IF($I$78="x",1)-IF($C$79="x",4)+IF($C$80="x",1)-IF($I$77="x",2)-IF($I$90="x",2)+IF($I$83="x",2)-IF($C$83="x",4)-$C$112-15+IF(H203="x",1)+I203+$M$77+IF(H205="x",1)+IF(J205="x",1)+IF($M$76="x",2)+J203+IF($M$85="x",1)+IF($M$113="x",1)+IF($M$120="x",2)+IF($M$119="x",2)+IF($M$105="x",1)+IF($M$110="x",1)+IF($M$111="x",2)+IF($M$112="x",4)+IF($M$108="x",1)-IF($M$109="x",1)-IF($M$99="x",1)+IF($M$90="x",1)-IF($C$97="x",2,4))))))</f>
        <v>-4</v>
      </c>
      <c r="C205" s="49" t="str">
        <f>_xlfn.IFS($C$7="Minimaalinen","1",$C$7="Taskukokoinen","1n2",$C$7="Hyvin pieni","1n3",$C$7="Pieni","1n4",$C$7="Keskikokoinen","1n6",$C$7="Iso","1n8",$C$7="Valtava","2n6",$C$7="Suunnaton","3n6",$C$7="Giganttinen","4n6")</f>
        <v>1n6</v>
      </c>
      <c r="D205" s="121">
        <f>SUM($I$2+$C$120)+I203+$M$77+IF(I205="x",2)+IF(K205="x",2)+IF($M$119="x",2)+IF($M$108="x",1)+$M$94-IF($M$109="x",1)+K203</f>
        <v>0</v>
      </c>
      <c r="E205" s="49" t="str">
        <f>_xlfn.IFS($C$7="Minimaalinen","2",$C$7="Taskukokoinen","2n2",$C$7="Hyvin pieni","2n3",$C$7="Pieni","2n4",$C$7="Keskikokoinen","2n6",$C$7="Iso","2n8",$C$7="Valtava","4n6",$C$7="Suunnaton","6n6",$C$7="Giganttinen","8n6")</f>
        <v>2n6</v>
      </c>
      <c r="F205" s="82">
        <f>SUM(D205*2)</f>
        <v>0</v>
      </c>
      <c r="G205" s="82" t="str">
        <f>(IF($I$89="x","50 %","")&amp;(IF($C$81="x","20 %",""))&amp;(IF($C$82="x","50 %","")))</f>
        <v/>
      </c>
      <c r="H205" s="28"/>
      <c r="I205" s="28"/>
      <c r="J205" s="28"/>
      <c r="K205" s="28"/>
      <c r="AC205" s="40"/>
      <c r="AD205" s="49"/>
      <c r="AE205" s="41"/>
      <c r="AF205" s="49"/>
      <c r="AG205" s="40"/>
      <c r="AH205" s="40"/>
      <c r="AI205" s="40"/>
      <c r="AJ205" s="40"/>
      <c r="AK205" s="40"/>
      <c r="AL205" s="40"/>
    </row>
    <row r="206" spans="1:38" x14ac:dyDescent="0.2">
      <c r="A206" s="25" t="s">
        <v>437</v>
      </c>
      <c r="B206" s="82">
        <f>IF($I$85="x","PAINISSA",IF($C$3&lt;=5,SUM($C$3,$I$2)-$C$120+IF($C$75="x",2)+$I$16-$B$10+$M$94+IF($C$77="x",2)-IF($C$78="x",4)-IF($I$78="x",1)-IF($C$79="x",4)+IF($C$80="x",1)-IF($I$77="x",2)-IF($I$90="x",2)+IF($I$83="x",2)-IF($C$75="x",4)-$C$112+IF(H203="x",1)+I203+$M$77+IF(H205="x",1)+IF(J205="x",1)+IF($M$76="x",2)+J203+IF($M$85="x",1)+IF($M$113="x",1)+IF($M$120="x",2)+IF($M$119="x",2)+IF($M$105="x",1)+IF($M$110="x",1)+IF($M$111="x",2)+IF($M$112="x",4)+IF($M$108="x",1)-IF($M$109="x",1)-IF($M$99="x",1)+IF($M$90="x",1)-IF($C$97="x",4,6),
IF(AND($C$3&gt;5,$C$3&lt;11),SUM($C$3,$I$2)-$C$120+IF($C$75="x",2)+$I$16-$B$10+$M$94+IF($C$77="x",2)-IF($C$78="x",4)-IF($I$78="x",1)-IF($C$79="x",4)+IF($C$80="x",1)-IF($I$77="x",2)-IF($I$90="x",2)+IF($I$83="x",2)-IF($C$83="x",4)-$C$112+IF(H203="x",1)+I203+$M$77+IF(H205="x",1)+IF(J205="x",1)+IF($M$76="x",2)+J203+IF($M$85="x",1)+IF($M$113="x",1)+IF($M$120="x",2)+IF($M$119="x",2)+IF($M$105="x",1)+IF($M$110="x",1)+IF($M$111="x",2)+IF($M$112="x",4)+IF($M$108="x",1)-IF($M$109="x",1)-IF($M$99="x",1)+IF($M$90="x",1)-IF($C$97="x",4,6)
&amp;"/"&amp;SUM($C$3,$I$2)-$C$120+IF($C$75="x",2)+$I$16-$B$10+$M$94+IF($C$77="x",2)-IF($C$78="x",4)-IF($I$78="x",1)-IF($C$79="x",4)+IF($C$80="x",1)-IF($I$77="x",2)-IF($I$90="x",2)+IF($I$83="x",2)-IF($C$83="x",4)-$C$112-5+IF(H203="x",1)+I203+$M$77+IF(H205="x",1)+IF(J205="x",1)+IF($M$76="x",2)+J203+IF($M$85="x",1)+IF($M$113="x",1)+IF($M$120="x",2)+IF($M$119="x",2)+IF($M$105="x",1)+IF($M$110="x",1)+IF($M$111="x",2)+IF($M$112="x",4)+IF($M$108="x",1)-IF($M$109="x",1)-IF($M$99="x",1)+IF($M$90="x",1)-IF($C$97="x",4,6),
IF(AND($C$3&gt;10,$C$3&lt;16),SUM($C$3,$I$2)-$C$120+IF($C$75="x",2)+$I$16-$B$10+$M$94+IF($C$77="x",2)-IF($C$78="x",4)-IF($I$78="x",1)-IF($C$79="x",4)+IF($C$80="x",1)-IF($I$77="x",2)-IF($I$90="x",2)+IF($I$83="x",2)-IF($C$83="x",4)-$C$112+IF(H203="x",1)+I203+$M$77+IF(H205="x",1)+IF(J205="x",1)+IF($M$76="x",2)+J203+IF($M$85="x",1)+IF($M$113="x",1)+IF($M$120="x",2)+IF($M$119="x",2)+IF($M$105="x",1)+IF($M$110="x",1)+IF($M$111="x",2)+IF($M$112="x",4)+IF($M$108="x",1)-IF($M$109="x",1)+IF($M$99="x",20)-IF($M$99="x",1)+IF($M$90="x",1)-IF($C$97="x",4,6)
&amp;"/"&amp;SUM($C$3,$I$2)-$C$120+IF($C$75="x",2)+$I$16-$B$10+$M$94+IF($C$77="x",2)-IF($C$78="x",4)-IF($I$78="x",1)-IF($C$79="x",4)+IF($C$80="x",1)-IF($I$77="x",2)-IF($I$90="x",2)+IF($I$83="x",2)-IF($C$83="x",4)-$C$112-5+IF(H203="x",1)+I203+$M$77+IF(H205="x",1)+IF(J205="x",1)+IF($M$76="x",2)+J203+IF($M$85="x",1)+IF($M$113="x",1)+IF($M$120="x",2)+IF($M$119="x",2)+IF($M$105="x",1)+IF($M$110="x",1)+IF($M$111="x",2)+IF($M$112="x",4)+IF($M$108="x",1)-IF($M$109="x",1)-IF($M$99="x",1)+IF($M$90="x",1)-IF($C$97="x",4,6)
&amp;"/"&amp;SUM($C$3,$I$2)-$C$120+IF($C$75="x",2)+$I$16-$B$10+$M$94+IF($C$77="x",2)-IF($C$78="x",4)-IF($I$78="x",1)-IF($C$79="x",4)+IF($C$80="x",1)-IF($I$77="x",2)-IF($I$90="x",2)+IF($I$83="x",2)-IF($C$83="x",4)-$C$112-10+IF(H203="x",1)+I203+$M$77+IF(H205="x",1)+IF(J205="x",1)+IF($M$76="x",2)+J203+IF($M$85="x",1)+IF($M$113="x",1)+IF($M$120="x",2)+IF($M$119="x",2)+IF($M$105="x",1)+IF($M$110="x",1)+IF($M$111="x",2)+IF($M$112="x",4)+IF($M$108="x",1)-IF($M$109="x",1)-IF($M$99="x",1)+IF($M$90="x",1)-IF($C$97="x",4,6),
IF(AND($C$3&gt;15),SUM($C$3,$I$2)-$C$120+IF($C$75="x",2)+$I$16-$B$10+$M$94+IF($C$77="x",2)-IF($C$78="x",4)-IF($I$78="x",1)-IF($C$79="x",4)+IF($C$80="x",1)-IF($I$77="x",2)-IF($I$90="x",2)+IF($I$83="x",2)-IF($C$83="x",4)-$C$112+IF(H203="x",1)+I203+$M$77+IF(H205="x",1)+IF(J205="x",1)+IF($M$76="x",2)+J203+IF($M$85="x",1)+IF($M$113="x",1)+IF($M$120="x",2)+IF($M$119="x",2)+IF($M$105="x",1)+IF($M$110="x",1)+IF($M$111="x",2)+IF($M$112="x",4)+IF($M$108="x",1)-IF($M$109="x",1)-IF($M$99="x",1)+IF($M$90="x",1)-IF($C$97="x",4,6)
&amp;"/"&amp;SUM($C$3,$I$2)-$C$120+IF($C$75="x",2)+$I$16-$B$10+$M$94+IF($C$77="x",2)-IF($C$78="x",4)-IF($I$78="x",1)-IF($C$79="x",4)+IF($C$80="x",1)-IF($I$77="x",2)-IF($I$90="x",2)+IF($I$83="x",2)-IF($C$83="x",4)-$C$112-5+IF(H203="x",1)+I203+$M$77+IF(H205="x",1)+IF(J205="x",1)+IF($M$76="x",2)+J203+IF($M$85="x",1)+IF($M$113="x",1)+IF($M$120="x",2)+IF($M$119="x",2)+IF($M$105="x",1)+IF($M$110="x",1)+IF($M$111="x",2)+IF($M$112="x",4)+IF($M$108="x",1)-IF($M$109="x",1)-IF($M$99="x",1)+IF($M$90="x",1)-IF($C$97="x",4,6)
&amp;"/"&amp;SUM($C$3,$I$2)-$C$120+IF($C$75="x",2)+$I$16-$B$10+$M$94+IF($C$77="x",2)-IF($C$78="x",4)-IF($I$78="x",1)-IF($C$79="x",4)+IF($C$80="x",1)-IF($I$77="x",2)-IF($I$90="x",2)+IF($I$83="x",2)-IF($C$83="x",4)-$C$112-10+IF(H203="x",1)+I203+$M$77+IF(H205="x",1)+IF(J205="x",1)+IF($M$76="x",2)+J203+IF($M$85="x",1)+IF($M$113="x",1)+IF($M$120="x",2)+IF($M$119="x",2)+IF($M$105="x",1)+IF($M$110="x",1)+IF($M$111="x",2)+IF($M$112="x",4)+IF($M$108="x",1)-IF($M$109="x",1)-IF($M$99="x",1)+IF($M$90="x",1)-IF($C$97="x",4,6)
&amp;"/"&amp;SUM($C$3,$I$2)-$C$120+IF($C$75="x",2)+$I$16-$B$10+$M$94+IF($C$77="x",2)-IF($C$78="x",4)-IF($I$78="x",1)-IF($C$79="x",4)+IF($C$80="x",1)-IF($I$77="x",2)-IF($I$90="x",2)+IF($I$83="x",2)-IF($C$83="x",4)-$C$112-15+IF(H203="x",1)+I203+$M$77+IF(H205="x",1)+IF(J205="x",1)+IF($M$76="x",2)+J203+IF($M$85="x",1)+IF($M$113="x",1)+IF($M$120="x",2)+IF($M$119="x",2)+IF($M$105="x",1)+IF($M$110="x",1)+IF($M$111="x",2)+IF($M$112="x",4)+IF($M$108="x",1)-IF($M$109="x",1)-IF($M$99="x",1)+IF($M$90="x",1)-IF($C$97="x",4,6))))))</f>
        <v>-6</v>
      </c>
      <c r="C206" s="49" t="str">
        <f>_xlfn.IFS($C$7="Minimaalinen","1",$C$7="Taskukokoinen","1n2",$C$7="Hyvin pieni","1n3",$C$7="Pieni","1n4",$C$7="Keskikokoinen","1n6",$C$7="Iso","1n8",$C$7="Valtava","2n6",$C$7="Suunnaton","3n6",$C$7="Giganttinen","4n6")</f>
        <v>1n6</v>
      </c>
      <c r="D206" s="121">
        <f>SUM($I$2+$C$120)+I203+$M$77+IF(I205="x",2)+IF(K205="x",2)+IF($M$119="x",2)+IF($M$108="x",1)+$M$94-IF($M$109="x",1)+K203</f>
        <v>0</v>
      </c>
      <c r="E206" s="49" t="str">
        <f>_xlfn.IFS($C$7="Minimaalinen","2",$C$7="Taskukokoinen","2n2",$C$7="Hyvin pieni","2n3",$C$7="Pieni","2n4",$C$7="Keskikokoinen","2n6",$C$7="Iso","2n8",$C$7="Valtava","4n6",$C$7="Suunnaton","6n6",$C$7="Giganttinen","8n6")</f>
        <v>2n6</v>
      </c>
      <c r="F206" s="82">
        <f>SUM(D206*2)</f>
        <v>0</v>
      </c>
      <c r="G206" s="82" t="str">
        <f>(IF($I$89="x","50 %","")&amp;(IF($C$81="x","20 %",""))&amp;(IF($C$82="x","50 %","")))</f>
        <v/>
      </c>
      <c r="H206" s="14" t="s">
        <v>182</v>
      </c>
      <c r="I206" s="15"/>
      <c r="AB206" s="47"/>
      <c r="AC206" s="113"/>
      <c r="AD206" s="114"/>
      <c r="AE206" s="113"/>
      <c r="AF206" s="114"/>
      <c r="AG206" s="114"/>
      <c r="AH206" s="114"/>
      <c r="AI206" s="48"/>
      <c r="AJ206" s="48"/>
      <c r="AK206" s="48"/>
      <c r="AL206" s="48"/>
    </row>
    <row r="207" spans="1:38" x14ac:dyDescent="0.2">
      <c r="A207" s="122" t="s">
        <v>436</v>
      </c>
      <c r="B207" s="123">
        <f>IF($I$85="x","PAINISSA",IF(AND($C$90="",$C$118=""),SUM($C$3,$I$2)-$C$120+IF($C$75="x",2)+$I$16-$B$10+$M$94+IF($C$77="x",2)-IF($C$78="x",4)-IF($I$78="x",1)-IF($C$79="x",4)+IF($C$80="x",1)-IF($I$77="x",2)-IF($I$90="x",2)+IF($I$83="x",2)-IF($C$75="x",4)-$C$112+IF(H203="x",1)+I203+$M$77+IF(H205="x",1)+IF(J205="x",1)+IF($M$76="x",2)+J203+IF($M$85="x",1)+IF($M$113="x",1)+IF($M$120="x",2)+IF($M$119="x",2)+IF($M$105="x",1)+IF($M$110="x",1)+IF($M$111="x",2)+IF($M$112="x",4)+IF($M$108="x",1)-IF($M$109="x",1)-IF($M$99="x",1)+IF($M$90="x",1)-IF($C$97="x",4,10),
IF(AND($C$90="x",$C$118=""),SUM($C$3,$I$2)-$C$120+IF($C$75="x",2)+$I$16-$B$10+$M$94+IF($C$77="x",2)-IF($C$78="x",4)-IF($I$78="x",1)-IF($C$79="x",4)+IF($C$80="x",1)-IF($I$77="x",2)-IF($I$90="x",2)+IF($I$83="x",2)-IF($C$83="x",4)-$C$112+IF(H203="x",1)+I203+$M$77+IF(H205="x",1)+IF(J205="x",1)+IF($M$76="x",2)+J203+IF($M$85="x",1)+IF($M$113="x",1)+IF($M$120="x",2)+IF($M$119="x",2)+IF($M$105="x",1)+IF($M$110="x",1)+IF($M$111="x",2)+IF($M$112="x",4)+IF($M$108="x",1)-IF($M$109="x",1)-IF($M$99="x",1)+IF($M$90="x",1)-IF($C$97="x",4,10)
&amp;"/"&amp;SUM($C$3,$I$2)-$C$120+IF($C$75="x",2)+$I$16-$B$10+$M$94+IF($C$77="x",2)-IF($C$78="x",4)-IF($I$78="x",1)-IF($C$79="x",4)+IF($C$80="x",1)-IF($I$77="x",2)-IF($I$90="x",2)+IF($I$83="x",2)-IF($C$83="x",4)-$C$112+IF(H203="x",1)+I203+$M$77+IF(H205="x",1)+IF(J205="x",1)+IF($M$76="x",2)+J203+IF($M$85="x",1)+IF($M$113="x",1)+IF($M$120="x",2)+IF($M$119="x",2)+IF($M$105="x",1)+IF($M$110="x",1)+IF($M$111="x",2)+IF($M$112="x",4)+IF($M$108="x",1)-IF($M$109="x",1)-IF($M$99="x",1)+IF($M$90="x",1)-IF($C$97="x",4,10)-5,
IF(AND($C$90="x",$C$118="x"),SUM($C$3,$I$2)-$C$120+IF($C$75="x",2)+$I$16-$B$10+$M$94+IF($C$77="x",2)-IF($C$78="x",4)-IF($I$78="x",1)-IF($C$79="x",4)+IF($C$80="x",1)-IF($I$77="x",2)-IF($I$90="x",2)+IF($I$83="x",2)-IF($C$83="x",4)-$C$112+IF(H203="x",1)+I203+$M$77+IF(H205="x",1)+IF(J205="x",1)+IF($M$76="x",2)+J203+IF($M$85="x",1)+IF($M$113="x",1)+IF($M$120="x",2)+IF($M$119="x",2)+IF($M$105="x",1)+IF($M$110="x",1)+IF($M$111="x",2)+IF($M$112="x",4)+IF($M$108="x",1)-IF($M$109="x",1)+IF($M$99="x",20)-IF($M$99="x",1)+IF($M$90="x",1)-IF($C$97="x",4,10)
&amp;"/"&amp;SUM($C$3,$I$2)-$C$120+IF($C$75="x",2)+$I$16-$B$10+$M$94+IF($C$77="x",2)-IF($C$78="x",4)-IF($I$78="x",1)-IF($C$79="x",4)+IF($C$80="x",1)-IF($I$77="x",2)-IF($I$90="x",2)+IF($I$83="x",2)-IF($C$83="x",4)-$C$112-5+IF(H203="x",1)+I203+$M$77+IF(H205="x",1)+IF(J205="x",1)+IF($M$76="x",2)+J203+IF($M$85="x",1)+IF($M$113="x",1)+IF($M$120="x",2)+IF($M$119="x",2)+IF($M$105="x",1)+IF($M$110="x",1)+IF($M$111="x",2)+IF($M$112="x",4)+IF($M$108="x",1)-IF($M$109="x",1)-IF($M$99="x",1)+IF($M$90="x",1)-IF($C$97="x",4,10)
&amp;"/"&amp;SUM($C$3,$I$2)-$C$120+IF($C$75="x",2)+$I$16-$B$10+$M$94+IF($C$77="x",2)-IF($C$78="x",4)-IF($I$78="x",1)-IF($C$79="x",4)+IF($C$80="x",1)-IF($I$77="x",2)-IF($I$90="x",2)+IF($I$83="x",2)-IF($C$83="x",4)-$C$112-10+IF(H203="x",1)+I203+$M$77+IF(H205="x",1)+IF(J205="x",1)+IF($M$76="x",2)+J203+IF($M$85="x",1)+IF($M$113="x",1)+IF($M$120="x",2)+IF($M$119="x",2)+IF($M$105="x",1)+IF($M$110="x",1)+IF($M$111="x",2)+IF($M$112="x",4)+IF($M$108="x",1)-IF($M$109="x",1)-IF($M$99="x",1)+IF($M$90="x",1)-IF($C$97="x",4,10)))))</f>
        <v>-10</v>
      </c>
      <c r="C207" s="54" t="str">
        <f>_xlfn.IFS($C$7="Minimaalinen","1",$C$7="Taskukokoinen","1n2",$C$7="Hyvin pieni","1n3",$C$7="Pieni","1n4",$C$7="Keskikokoinen","1n6",$C$7="Iso","1n8",$C$7="Valtava","2n6",$C$7="Suunnaton","3n6",$C$7="Giganttinen","4n6")</f>
        <v>1n6</v>
      </c>
      <c r="D207" s="123">
        <f>INT($I$2/2)+($C$120)+I203+$M$77+IF(I205="x",2)+IF(K205="x",2)+IF($M$119="x",2)+IF($M$108="x",1)+$M$94+K203-IF($M$109="x",1)</f>
        <v>0</v>
      </c>
      <c r="E207" s="54" t="str">
        <f>_xlfn.IFS($C$7="Minimaalinen","2",$C$7="Taskukokoinen","2n2",$C$7="Hyvin pieni","2n3",$C$7="Pieni","2n4",$C$7="Keskikokoinen","2n6",$C$7="Iso","2n8",$C$7="Valtava","4n6",$C$7="Suunnaton","6n6",$C$7="Giganttinen","8n6")</f>
        <v>2n6</v>
      </c>
      <c r="F207" s="124">
        <f>SUM(D207*2)</f>
        <v>0</v>
      </c>
      <c r="G207" s="124" t="str">
        <f>(IF($I$89="x","50 %","")&amp;(IF($C$81="x","20 %",""))&amp;(IF($C$82="x","50 %","")))</f>
        <v/>
      </c>
      <c r="H207" s="28"/>
      <c r="K207" s="82"/>
      <c r="AB207" s="56"/>
      <c r="AC207" s="51"/>
      <c r="AD207" s="49"/>
      <c r="AE207" s="51"/>
      <c r="AF207" s="49"/>
      <c r="AG207" s="40"/>
      <c r="AH207" s="49"/>
      <c r="AI207" s="40"/>
      <c r="AJ207" s="40"/>
      <c r="AK207" s="40"/>
      <c r="AL207" s="40"/>
    </row>
    <row r="208" spans="1:38" x14ac:dyDescent="0.2">
      <c r="A208" s="125" t="s">
        <v>250</v>
      </c>
      <c r="B208" s="25"/>
      <c r="C208" s="25"/>
      <c r="D208" s="25"/>
      <c r="E208" s="25"/>
      <c r="F208" s="25"/>
      <c r="G208" s="25"/>
      <c r="H208" s="25"/>
      <c r="I208" s="25"/>
      <c r="J208" s="25"/>
      <c r="K208" s="25"/>
      <c r="AB208" s="56"/>
      <c r="AC208" s="49"/>
      <c r="AD208" s="49"/>
      <c r="AE208" s="51"/>
      <c r="AF208" s="49"/>
      <c r="AG208" s="40"/>
      <c r="AH208" s="49"/>
      <c r="AI208" s="48"/>
    </row>
    <row r="209" spans="1:38" x14ac:dyDescent="0.2">
      <c r="A209" s="126">
        <f>IF($C$98="x",10*1.5,10)</f>
        <v>10</v>
      </c>
      <c r="B209" s="121">
        <f>_xlfn.IFS($I$85="x",
"PAINISSA",
$C$106="",
SUM($C$3,$I$3)+IF(H207="x",1)+$I$16-$B$10+$M$94+IF($C$77="x",2)-IF($C$78="x",4)-IF($I$78="x",1)-IF($I$77="x",2)-IF($I$90="x",2)+IF($I$83="x",2)-IF($C$76="x",4)-$C$112+IF(H203="x",1)+I203+$M$77+IF(H205="x",1)+IF(J205="x",1)+IF($M$76="x",2)+J203+IF($M$85="x",1)+IF($M$113="x",1)+IF($M$120="x",2)+IF($M$119="x",2)+IF($M$105="x",1)+IF($M$110="x",1)+IF($M$111="x",2)+IF($M$112="x",4)+IF($M$108="x",1)-IF($M$109="x",1)-IF($M$99="x",1)+IF($M$90="x",1),
$B$3&lt;6,
SUM($C$3,$I$3)+IF(H207="x",1)+$I$16-$B$10+$M$94+IF($C$77="x",2)-IF($C$78="x",4)-IF($I$78="x",1)-IF($I$77="x",2)-IF($I$90="x",2)+IF($I$83="x",2)-IF($C$76="x",4)-$C$112+IF(H203="x",1)+I203+$M$77+IF(H205="x",1)+IF(J205="x",1)+IF($M$76="x",2)+J203+IF($M$85="x",1)+IF($M$113="x",1)+IF($M$120="x",2)+IF($M$119="x",2)+IF($M$105="x",1)+IF($M$110="x",1)+IF($M$111="x",2)+IF($M$112="x",4)+IF($M$108="x",1)-IF($M$109="x",1)-IF($M$99="x",1)+IF($M$90="x",1),
$B$3&lt;11,
SUM($C$3,$I$3)+IF(H207="x",1)+$I$16-$B$10+$M$94+IF($C$77="x",2)-IF($C$78="x",4)-IF($I$78="x",1)-IF($I$77="x",2)-IF($I$90="x",2)+IF($I$83="x",2)-IF($C$76="x",4)-$C$112+IF(H203="x",1)+I203+$M$77+IF(H205="x",1)+IF(J205="x",1)+IF($M$76="x",2)+J203+IF($M$85="x",1)+IF($M$113="x",1)+IF($M$120="x",2)+IF($M$119="x",2)+IF($M$105="x",1)+IF($M$110="x",1)+IF($M$111="x",2)+IF($M$112="x",4)+IF($M$108="x",1)-IF($M$109="x",1)-IF($M$99="x",1)+IF($M$90="x",1)
&amp;"/"&amp;SUM($C$3,$I$3)+IF(H207="x",1)+$I$16-$B$10+$M$94+IF($C$77="x",2)-IF($C$78="x",4)-IF($I$78="x",1)-IF($I$77="x",2)-IF($I$90="x",2)+IF($I$83="x",2)-IF($C$76="x",4)-$C$112+IF(H203="x",1)+I203+$M$77+IF(H205="x",1)+IF(J205="x",1)+IF($M$76="x",2)+J203+IF($M$85="x",1)+IF($M$113="x",1)+IF($M$120="x",2)+IF($M$119="x",2)+IF($M$105="x",1)+IF($M$110="x",1)+IF($M$111="x",2)+IF($M$112="x",4)+IF($M$108="x",1)-IF($M$109="x",1)-IF($M$99="x",1)+IF($M$90="x",1)-5,
$B$3&lt;16,
SUM($C$3,$I$3)+IF(H207="x",1)+$I$16-$B$10+$M$94+IF($C$77="x",2)-IF($C$78="x",4)-IF($I$78="x",1)-IF($I$77="x",2)-IF($I$90="x",2)+IF($I$83="x",2)-IF($C$76="x",4)-$C$112+IF(H203="x",1)+I203+$M$77+IF(H205="x",1)+IF(J205="x",1)+IF($M$76="x",2)+J203+IF($M$85="x",1)+IF($M$113="x",1)+IF($M$120="x",2)+IF($M$119="x",2)+IF($M$105="x",1)+IF($M$110="x",1)+IF($M$111="x",2)+IF($M$112="x",4)+IF($M$108="x",1)-IF($M$109="x",1)-IF($M$99="x",1)+IF($M$90="x",1)
&amp;"/"&amp;SUM($C$3,$I$3)+IF(H207="x",1)+$I$16-$B$10+$M$94+IF($C$77="x",2)-IF($C$78="x",4)-IF($I$78="x",1)-IF($I$77="x",2)-IF($I$90="x",2)+IF($I$83="x",2)-IF($C$76="x",4)-$C$112+IF(H203="x",1)+I203+$M$77+IF(H205="x",1)+IF(J205="x",1)+IF($M$76="x",2)+J203+IF($M$85="x",1)+IF($M$113="x",1)+IF($M$120="x",2)+IF($M$119="x",2)+IF($M$105="x",1)+IF($M$110="x",1)+IF($M$111="x",2)+IF($M$112="x",4)+IF($M$108="x",1)-IF($M$109="x",1)-IF($M$99="x",1)+IF($M$90="x",1)-5
&amp;"/"&amp;SUM($C$3,$I$3)+IF(H207="x",1)+$I$16-$B$10+$M$94+IF($C$77="x",2)-IF($C$78="x",4)-IF($I$78="x",1)-IF($I$77="x",2)-IF($I$90="x",2)+IF($I$83="x",2)-IF($C$76="x",4)-$C$112+IF(H203="x",1)+I203+$M$77+IF(H205="x",1)+IF(J205="x",1)+IF($M$76="x",2)+J203+IF($M$85="x",1)+IF($M$113="x",1)+IF($M$120="x",2)+IF($M$119="x",2)+IF($M$105="x",1)+IF($M$110="x",1)+IF($M$111="x",2)+IF($M$112="x",4)+IF($M$108="x",1)-IF($M$109="x",1)-IF($M$99="x",1)+IF($M$90="x",1)-10,
$B$3&gt;=16,
SUM($C$3,$I$3)+IF(H207="x",1)+$I$16-$B$10+$M$94+IF($C$77="x",2)-IF($C$78="x",4)-IF($I$78="x",1)-IF($I$77="x",2)-IF($I$90="x",2)+IF($I$83="x",2)-IF($C$76="x",4)-$C$112+IF(H203="x",1)+I203+$M$77+IF(H205="x",1)+IF(J205="x",1)+IF($M$76="x",2)+J203+IF($M$85="x",1)+IF($M$113="x",1)+IF($M$120="x",2)+IF($M$119="x",2)+IF($M$105="x",1)+IF($M$110="x",1)+IF($M$111="x",2)+IF($M$112="x",4)+IF($M$108="x",1)-IF($M$109="x",1)-IF($M$99="x",1)+IF($M$90="x",1)
&amp;"/"&amp;SUM($C$3,$I$3)+IF(H207="x",1)+$I$16-$B$10+$M$94+IF($C$77="x",2)-IF($C$78="x",4)-IF($I$78="x",1)-IF($I$77="x",2)-IF($I$90="x",2)+IF($I$83="x",2)-IF($C$76="x",4)-$C$112+IF(H203="x",1)+I203+$M$77+IF(H205="x",1)+IF(J205="x",1)+IF($M$76="x",2)+J203+IF($M$85="x",1)+IF($M$113="x",1)+IF($M$120="x",2)+IF($M$119="x",2)+IF($M$105="x",1)+IF($M$110="x",1)+IF($M$111="x",2)+IF($M$112="x",4)+IF($M$108="x",1)-IF($M$109="x",1)-IF($M$99="x",1)+IF($M$90="x",1)-5
&amp;"/"&amp;SUM($C$3,$I$3)+IF(H207="x",1)+$I$16-$B$10+$M$94+IF($C$77="x",2)-IF($C$78="x",4)-IF($I$78="x",1)-IF($I$77="x",2)-IF($I$90="x",2)+IF($I$83="x",2)-IF($C$76="x",4)-$C$112+IF(H203="x",1)+I203+$M$77+IF(H205="x",1)+IF(J205="x",1)+IF($M$76="x",2)+J203+IF($M$85="x",1)+IF($M$113="x",1)+IF($M$120="x",2)+IF($M$119="x",2)+IF($M$105="x",1)+IF($M$110="x",1)+IF($M$111="x",2)+IF($M$112="x",4)+IF($M$108="x",1)-IF($M$109="x",1)-IF($M$99="x",1)+IF($M$90="x",1)-10
&amp;"/"&amp;SUM($C$3,$I$3)+IF(H207="x",1)+$I$16-$B$10+$M$94+IF($C$77="x",2)-IF($C$78="x",4)-IF($I$78="x",1)-IF($I$77="x",2)-IF($I$90="x",2)+IF($I$83="x",2)-IF($C$76="x",4)-$C$112+IF(H203="x",1)+I203+$M$77+IF(H205="x",1)+IF(J205="x",1)+IF($M$76="x",2)+J203+IF($M$85="x",1)+IF($M$113="x",1)+IF($M$120="x",2)+IF($M$119="x",2)+IF($M$105="x",1)+IF($M$110="x",1)+IF($M$111="x",2)+IF($M$112="x",4)+IF($M$108="x",1)-IF($M$109="x",1)-IF($M$99="x",1)+IF($M$90="x",1)-15)</f>
        <v>0</v>
      </c>
      <c r="C209" s="49" t="str">
        <f>_xlfn.IFS($C$7="Minimaalinen","1",$C$7="Taskukokoinen","1n2",$C$7="Hyvin pieni","1n3",$C$7="Pieni","1n4",$C$7="Keskikokoinen","1n6",$C$7="Iso","1n8",$C$7="Valtava","2n6",$C$7="Suunnaton","3n6",$C$7="Giganttinen","4n6")</f>
        <v>1n6</v>
      </c>
      <c r="D209" s="51">
        <f>SUM($I$2+$C$120)+I203+$M$77+IF(I205="x",2)+IF(K205="x",2)+IF($M$119="x",2)+IF($M$108="x",1)+$M$94-IF($M$109="x",1)+K203+IF(H207="x",1)</f>
        <v>0</v>
      </c>
      <c r="E209" s="49" t="str">
        <f>_xlfn.IFS($C$7="Minimaalinen","2",$C$7="Taskukokoinen","2n2",$C$7="Hyvin pieni","2n3",$C$7="Pieni","2n4",$C$7="Keskikokoinen","2n6",$C$7="Iso","2n8",$C$7="Valtava","4n6",$C$7="Suunnaton","6n6",$C$7="Giganttinen","8n6")</f>
        <v>2n6</v>
      </c>
      <c r="F209" s="82">
        <f>SUM(D209*2)</f>
        <v>0</v>
      </c>
      <c r="G209" s="82" t="str">
        <f>(IF($I$89="x","50 %","")&amp;(IF($C$81="x","20 %",""))&amp;(IF($C$82="x","50 %","")))</f>
        <v/>
      </c>
      <c r="H209" s="25"/>
      <c r="I209" s="25"/>
      <c r="J209" s="25"/>
      <c r="K209" s="25"/>
      <c r="AB209" s="52"/>
      <c r="AC209" s="53"/>
      <c r="AD209" s="54"/>
      <c r="AE209" s="53"/>
      <c r="AF209" s="54"/>
      <c r="AG209" s="54"/>
      <c r="AH209" s="54"/>
      <c r="AI209" s="40"/>
      <c r="AJ209" s="40"/>
      <c r="AL209" s="49"/>
    </row>
    <row r="210" spans="1:38" x14ac:dyDescent="0.2">
      <c r="A210" s="127">
        <f>A209*2</f>
        <v>20</v>
      </c>
      <c r="B210" s="123">
        <f>_xlfn.IFS($I$85="x",
"PAINISSA",
$C$106="",
SUM($C$3,$I$3)+IF(H207="x",1)+$I$16-$B$10+$M$94+IF($C$77="x",2)-IF($C$78="x",4)-IF($I$78="x",1)-IF($I$77="x",2)-IF($I$90="x",2)+IF($I$83="x",2)-IF($C$76="x",4)-$C$112+IF(H203="x",1)+I203+$M$77+IF(H205="x",1)+IF(J205="x",1)+IF($M$76="x",2)+J203+IF($M$85="x",1)+IF($M$113="x",1)+IF($M$120="x",2)+IF($M$119="x",2)+IF($M$105="x",1)+IF($M$110="x",1)+IF($M$111="x",2)+IF($M$112="x",4)+IF($M$108="x",1)-IF($M$109="x",1)-IF($M$99="x",1)+IF($M$90="x",1)-2,
$B$3&lt;6,
SUM($C$3,$I$3)+IF(H207="x",1)+$I$16-$B$10+$M$94+IF($C$77="x",2)-IF($C$78="x",4)-IF($I$78="x",1)-IF($I$77="x",2)-IF($I$90="x",2)+IF($I$83="x",2)-IF($C$76="x",4)-$C$112+IF(H203="x",1)+I203+$M$77+IF(H205="x",1)+IF(J205="x",1)+IF($M$76="x",2)+J203+IF($M$85="x",1)+IF($M$113="x",1)+IF($M$120="x",2)+IF($M$119="x",2)+IF($M$105="x",1)+IF($M$110="x",1)+IF($M$111="x",2)+IF($M$112="x",4)+IF($M$108="x",1)-IF($M$109="x",1)-IF($M$99="x",1)+IF($M$90="x",1)-2,
$B$3&lt;11,
SUM($C$3,$I$3)+IF(H207="x",1)+$I$16-$B$10+$M$94+IF($C$77="x",2)-IF($C$78="x",4)-IF($I$78="x",1)-IF($I$77="x",2)-IF($I$90="x",2)+IF($I$83="x",2)-IF($C$76="x",4)-$C$112+IF(H203="x",1)+I203+$M$77+IF(H205="x",1)+IF(J205="x",1)+IF($M$76="x",2)+J203+IF($M$85="x",1)+IF($M$113="x",1)+IF($M$120="x",2)+IF($M$119="x",2)+IF($M$105="x",1)+IF($M$110="x",1)+IF($M$111="x",2)+IF($M$112="x",4)+IF($M$108="x",1)-IF($M$109="x",1)-IF($M$99="x",1)+IF($M$90="x",1)-2
&amp;"/"&amp;SUM($C$3,$I$3)+IF(H207="x",1)+$I$16-$B$10+$M$94+IF($C$77="x",2)-IF($C$78="x",4)-IF($I$78="x",1)-IF($I$77="x",2)-IF($I$90="x",2)+IF($I$83="x",2)-IF($C$76="x",4)-$C$112+IF(H203="x",1)+I203+$M$77+IF(H205="x",1)+IF(J205="x",1)+IF($M$76="x",2)+J203+IF($M$85="x",1)+IF($M$113="x",1)+IF($M$120="x",2)+IF($M$119="x",2)+IF($M$105="x",1)+IF($M$110="x",1)+IF($M$111="x",2)+IF($M$112="x",4)+IF($M$108="x",1)-IF($M$109="x",1)-IF($M$99="x",1)+IF($M$90="x",1)-5-2,
$B$3&lt;16,
SUM($C$3,$I$3)+IF(H207="x",1)+$I$16-$B$10+$M$94+IF($C$77="x",2)-IF($C$78="x",4)-IF($I$78="x",1)-IF($I$77="x",2)-IF($I$90="x",2)+IF($I$83="x",2)-IF($C$76="x",4)-$C$112+IF(H203="x",1)+I203+$M$77+IF(H205="x",1)+IF(J205="x",1)+IF($M$76="x",2)+J203+IF($M$85="x",1)+IF($M$113="x",1)+IF($M$120="x",2)+IF($M$119="x",2)+IF($M$105="x",1)+IF($M$110="x",1)+IF($M$111="x",2)+IF($M$112="x",4)+IF($M$108="x",1)-IF($M$109="x",1)-IF($M$99="x",1)+IF($M$90="x",1)-2
&amp;"/"&amp;SUM($C$3,$I$3)+IF(H207="x",1)+$I$16-$B$10+$M$94+IF($C$77="x",2)-IF($C$78="x",4)-IF($I$78="x",1)-IF($I$77="x",2)-IF($I$90="x",2)+IF($I$83="x",2)-IF($C$76="x",4)-$C$112+IF(H203="x",1)+I203+$M$77+IF(H205="x",1)+IF(J205="x",1)+IF($M$76="x",2)+J203+IF($M$85="x",1)+IF($M$113="x",1)+IF($M$120="x",2)+IF($M$119="x",2)+IF($M$105="x",1)+IF($M$110="x",1)+IF($M$111="x",2)+IF($M$112="x",4)+IF($M$108="x",1)-IF($M$109="x",1)-IF($M$99="x",1)+IF($M$90="x",1)-5-2
&amp;"/"&amp;SUM($C$3,$I$3)+IF(H207="x",1)+$I$16-$B$10+$M$94+IF($C$77="x",2)-IF($C$78="x",4)-IF($I$78="x",1)-IF($I$77="x",2)-IF($I$90="x",2)+IF($I$83="x",2)-IF($C$76="x",4)-$C$112+IF(H203="x",1)+I203+$M$77+IF(H205="x",1)+IF(J205="x",1)+IF($M$76="x",2)+J203+IF($M$85="x",1)+IF($M$113="x",1)+IF($M$120="x",2)+IF($M$119="x",2)+IF($M$105="x",1)+IF($M$110="x",1)+IF($M$111="x",2)+IF($M$112="x",4)+IF($M$108="x",1)-IF($M$109="x",1)-IF($M$99="x",1)+IF($M$90="x",1)-10-2,
$B$3&gt;=16,
SUM($C$3,$I$3)+IF(H207="x",1)+$I$16-$B$10+$M$94+IF($C$77="x",2)-IF($C$78="x",4)-IF($I$78="x",1)-IF($I$77="x",2)-IF($I$90="x",2)+IF($I$83="x",2)-IF($C$76="x",4)-$C$112+IF(H203="x",1)+I203+$M$77+IF(H205="x",1)+IF(J205="x",1)+IF($M$76="x",2)+J203+IF($M$85="x",1)+IF($M$113="x",1)+IF($M$120="x",2)+IF($M$119="x",2)+IF($M$105="x",1)+IF($M$110="x",1)+IF($M$111="x",2)+IF($M$112="x",4)+IF($M$108="x",1)-IF($M$109="x",1)-IF($M$99="x",1)+IF($M$90="x",1)-2
&amp;"/"&amp;SUM($C$3,$I$3)+IF(H207="x",1)+$I$16-$B$10+$M$94+IF($C$77="x",2)-IF($C$78="x",4)-IF($I$78="x",1)-IF($I$77="x",2)-IF($I$90="x",2)+IF($I$83="x",2)-IF($C$76="x",4)-$C$112+IF(H203="x",1)+I203+$M$77+IF(H205="x",1)+IF(J205="x",1)+IF($M$76="x",2)+J203+IF($M$85="x",1)+IF($M$113="x",1)+IF($M$120="x",2)+IF($M$119="x",2)+IF($M$105="x",1)+IF($M$110="x",1)+IF($M$111="x",2)+IF($M$112="x",4)+IF($M$108="x",1)-IF($M$109="x",1)-IF($M$99="x",1)+IF($M$90="x",1)-5-2
&amp;"/"&amp;SUM($C$3,$I$3)+IF(H207="x",1)+$I$16-$B$10+$M$94+IF($C$77="x",2)-IF($C$78="x",4)-IF($I$78="x",1)-IF($I$77="x",2)-IF($I$90="x",2)+IF($I$83="x",2)-IF($C$76="x",4)-$C$112+IF(H203="x",1)+I203+$M$77+IF(H205="x",1)+IF(J205="x",1)+IF($M$76="x",2)+J203+IF($M$85="x",1)+IF($M$113="x",1)+IF($M$120="x",2)+IF($M$119="x",2)+IF($M$105="x",1)+IF($M$110="x",1)+IF($M$111="x",2)+IF($M$112="x",4)+IF($M$108="x",1)-IF($M$109="x",1)-IF($M$99="x",1)+IF($M$90="x",1)-10-2
&amp;"/"&amp;SUM($C$3,$I$3)+IF(H207="x",1)+$I$16-$B$10+$M$94+IF($C$77="x",2)-IF($C$78="x",4)-IF($I$78="x",1)-IF($I$77="x",2)-IF($I$90="x",2)+IF($I$83="x",2)-IF($C$76="x",4)-$C$112+IF(H203="x",1)+I203+$M$77+IF(H205="x",1)+IF(J205="x",1)+IF($M$76="x",2)+J203+IF($M$85="x",1)+IF($M$113="x",1)+IF($M$120="x",2)+IF($M$119="x",2)+IF($M$105="x",1)+IF($M$110="x",1)+IF($M$111="x",2)+IF($M$112="x",4)+IF($M$108="x",1)-IF($M$109="x",1)-IF($M$99="x",1)+IF($M$90="x",1)-15-2)</f>
        <v>-2</v>
      </c>
      <c r="C210" s="82"/>
      <c r="D210" s="121"/>
      <c r="E210" s="82"/>
      <c r="F210" s="82"/>
      <c r="G210" s="123" t="str">
        <f>(IF($I$89="x","50 %","")&amp;(IF($C$81="x","20 %",""))&amp;(IF($C$82="x","50 %","")))</f>
        <v/>
      </c>
      <c r="H210" s="25"/>
      <c r="I210" s="25"/>
      <c r="J210" s="25"/>
      <c r="K210" s="25"/>
    </row>
    <row r="211" spans="1:38" x14ac:dyDescent="0.2">
      <c r="A211" s="126">
        <f>A209*3</f>
        <v>30</v>
      </c>
      <c r="B211" s="121">
        <f>_xlfn.IFS($I$85="x",
"PAINISSA",
$C$106="",
SUM($C$3,$I$3)+IF(H207="x",1)+$I$16-$B$10+$M$94+IF($C$77="x",2)-IF($C$78="x",4)-IF($I$78="x",1)-IF($I$77="x",2)-IF($I$90="x",2)+IF($I$83="x",2)-IF($C$76="x",4)-$C$112+IF(H203="x",1)+I203+$M$77+IF(H205="x",1)+IF(J205="x",1)+IF($M$76="x",2)+J203+IF($M$85="x",1)+IF($M$113="x",1)+IF($M$120="x",2)+IF($M$119="x",2)+IF($M$105="x",1)+IF($M$110="x",1)+IF($M$111="x",2)+IF($M$112="x",4)+IF($M$108="x",1)-IF($M$109="x",1)-IF($M$99="x",1)+IF($M$90="x",1)-4,
$B$3&lt;6,
SUM($C$3,$I$3)+IF(H207="x",1)+$I$16-$B$10+$M$94+IF($C$77="x",2)-IF($C$78="x",4)-IF($I$78="x",1)-IF($I$77="x",2)-IF($I$90="x",2)+IF($I$83="x",2)-IF($C$76="x",4)-$C$112+IF(H203="x",1)+I203+$M$77+IF(H205="x",1)+IF(J205="x",1)+IF($M$76="x",2)+J203+IF($M$85="x",1)+IF($M$113="x",1)+IF($M$120="x",2)+IF($M$119="x",2)+IF($M$105="x",1)+IF($M$110="x",1)+IF($M$111="x",2)+IF($M$112="x",4)+IF($M$108="x",1)-IF($M$109="x",1)-IF($M$99="x",1)+IF($M$90="x",1)-4,
$B$3&lt;11,
SUM($C$3,$I$3)+IF(H207="x",1)+$I$16-$B$10+$M$94+IF($C$77="x",2)-IF($C$78="x",4)-IF($I$78="x",1)-IF($I$77="x",2)-IF($I$90="x",2)+IF($I$83="x",2)-IF($C$76="x",4)-$C$112+IF(H203="x",1)+I203+$M$77+IF(H205="x",1)+IF(J205="x",1)+IF($M$76="x",2)+J203+IF($M$85="x",1)+IF($M$113="x",1)+IF($M$120="x",2)+IF($M$119="x",2)+IF($M$105="x",1)+IF($M$110="x",1)+IF($M$111="x",2)+IF($M$112="x",4)+IF($M$108="x",1)-IF($M$109="x",1)-IF($M$99="x",1)+IF($M$90="x",1)-4
&amp;"/"&amp;SUM($C$3,$I$3)+IF(H207="x",1)+$I$16-$B$10+$M$94+IF($C$77="x",2)-IF($C$78="x",4)-IF($I$78="x",1)-IF($I$77="x",2)-IF($I$90="x",2)+IF($I$83="x",2)-IF($C$76="x",4)-$C$112+IF(H203="x",1)+I203+$M$77+IF(H205="x",1)+IF(J205="x",1)+IF($M$76="x",2)+J203+IF($M$85="x",1)+IF($M$113="x",1)+IF($M$120="x",2)+IF($M$119="x",2)+IF($M$105="x",1)+IF($M$110="x",1)+IF($M$111="x",2)+IF($M$112="x",4)+IF($M$108="x",1)-IF($M$109="x",1)-IF($M$99="x",1)+IF($M$90="x",1)-5-4,
$B$3&lt;16,
SUM($C$3,$I$3)+IF(H207="x",1)+$I$16-$B$10+$M$94+IF($C$77="x",2)-IF($C$78="x",4)-IF($I$78="x",1)-IF($I$77="x",2)-IF($I$90="x",2)+IF($I$83="x",2)-IF($C$76="x",4)-$C$112+IF(H203="x",1)+I203+$M$77+IF(H205="x",1)+IF(J205="x",1)+IF($M$76="x",2)+J203+IF($M$85="x",1)+IF($M$113="x",1)+IF($M$120="x",2)+IF($M$119="x",2)+IF($M$105="x",1)+IF($M$110="x",1)+IF($M$111="x",2)+IF($M$112="x",4)+IF($M$108="x",1)-IF($M$109="x",1)-IF($M$99="x",1)+IF($M$90="x",1)-4
&amp;"/"&amp;SUM($C$3,$I$3)+IF(H207="x",1)+$I$16-$B$10+$M$94+IF($C$77="x",2)-IF($C$78="x",4)-IF($I$78="x",1)-IF($I$77="x",2)-IF($I$90="x",2)+IF($I$83="x",2)-IF($C$76="x",4)-$C$112+IF(H203="x",1)+I203+$M$77+IF(H205="x",1)+IF(J205="x",1)+IF($M$76="x",2)+J203+IF($M$85="x",1)+IF($M$113="x",1)+IF($M$120="x",2)+IF($M$119="x",2)+IF($M$105="x",1)+IF($M$110="x",1)+IF($M$111="x",2)+IF($M$112="x",4)+IF($M$108="x",1)-IF($M$109="x",1)-IF($M$99="x",1)+IF($M$90="x",1)-5-4
&amp;"/"&amp;SUM($C$3,$I$3)+IF(H207="x",1)+$I$16-$B$10+$M$94+IF($C$77="x",2)-IF($C$78="x",4)-IF($I$78="x",1)-IF($I$77="x",2)-IF($I$90="x",2)+IF($I$83="x",2)-IF($C$76="x",4)-$C$112+IF(H203="x",1)+I203+$M$77+IF(H205="x",1)+IF(J205="x",1)+IF($M$76="x",2)+J203+IF($M$85="x",1)+IF($M$113="x",1)+IF($M$120="x",2)+IF($M$119="x",2)+IF($M$105="x",1)+IF($M$110="x",1)+IF($M$111="x",2)+IF($M$112="x",4)+IF($M$108="x",1)-IF($M$109="x",1)-IF($M$99="x",1)+IF($M$90="x",1)-10-4,
$B$3&gt;=16,
SUM($C$3,$I$3)+IF(H207="x",1)+$I$16-$B$10+$M$94+IF($C$77="x",2)-IF($C$78="x",4)-IF($I$78="x",1)-IF($I$77="x",2)-IF($I$90="x",2)+IF($I$83="x",2)-IF($C$76="x",4)-$C$112+IF(H203="x",1)+I203+$M$77+IF(H205="x",1)+IF(J205="x",1)+IF($M$76="x",2)+J203+IF($M$85="x",1)+IF($M$113="x",1)+IF($M$120="x",2)+IF($M$119="x",2)+IF($M$105="x",1)+IF($M$110="x",1)+IF($M$111="x",2)+IF($M$112="x",4)+IF($M$108="x",1)-IF($M$109="x",1)-IF($M$99="x",1)+IF($M$90="x",1)-4
&amp;"/"&amp;SUM($C$3,$I$3)+IF(H207="x",1)+$I$16-$B$10+$M$94+IF($C$77="x",2)-IF($C$78="x",4)-IF($I$78="x",1)-IF($I$77="x",2)-IF($I$90="x",2)+IF($I$83="x",2)-IF($C$76="x",4)-$C$112+IF(H203="x",1)+I203+$M$77+IF(H205="x",1)+IF(J205="x",1)+IF($M$76="x",2)+J203+IF($M$85="x",1)+IF($M$113="x",1)+IF($M$120="x",2)+IF($M$119="x",2)+IF($M$105="x",1)+IF($M$110="x",1)+IF($M$111="x",2)+IF($M$112="x",4)+IF($M$108="x",1)-IF($M$109="x",1)-IF($M$99="x",1)+IF($M$90="x",1)-5-4
&amp;"/"&amp;SUM($C$3,$I$3)+IF(H207="x",1)+$I$16-$B$10+$M$94+IF($C$77="x",2)-IF($C$78="x",4)-IF($I$78="x",1)-IF($I$77="x",2)-IF($I$90="x",2)+IF($I$83="x",2)-IF($C$76="x",4)-$C$112+IF(H203="x",1)+I203+$M$77+IF(H205="x",1)+IF(J205="x",1)+IF($M$76="x",2)+J203+IF($M$85="x",1)+IF($M$113="x",1)+IF($M$120="x",2)+IF($M$119="x",2)+IF($M$105="x",1)+IF($M$110="x",1)+IF($M$111="x",2)+IF($M$112="x",4)+IF($M$108="x",1)-IF($M$109="x",1)-IF($M$99="x",1)+IF($M$90="x",1)-10-4
&amp;"/"&amp;SUM($C$3,$I$3)+IF(H207="x",1)+$I$16-$B$10+$M$94+IF($C$77="x",2)-IF($C$78="x",4)-IF($I$78="x",1)-IF($I$77="x",2)-IF($I$90="x",2)+IF($I$83="x",2)-IF($C$76="x",4)-$C$112+IF(H203="x",1)+I203+$M$77+IF(H205="x",1)+IF(J205="x",1)+IF($M$76="x",2)+J203+IF($M$85="x",1)+IF($M$113="x",1)+IF($M$120="x",2)+IF($M$119="x",2)+IF($M$105="x",1)+IF($M$110="x",1)+IF($M$111="x",2)+IF($M$112="x",4)+IF($M$108="x",1)-IF($M$109="x",1)-IF($M$99="x",1)+IF($M$90="x",1)-15-4)</f>
        <v>-4</v>
      </c>
      <c r="C211" s="82"/>
      <c r="D211" s="121"/>
      <c r="E211" s="82"/>
      <c r="F211" s="82"/>
      <c r="G211" s="82" t="str">
        <f>(IF($I$89="x","50 %","")&amp;(IF($C$81="x","20 %",""))&amp;(IF($C$82="x","50 %","")))</f>
        <v/>
      </c>
      <c r="H211" s="15"/>
      <c r="I211" s="15"/>
    </row>
    <row r="212" spans="1:38" x14ac:dyDescent="0.2">
      <c r="A212" s="127">
        <f>A209*4</f>
        <v>40</v>
      </c>
      <c r="B212" s="123">
        <f>_xlfn.IFS($I$85="x",
"PAINISSA",
$C$106="",
SUM($C$3,$I$3)+IF(H207="x",1)+$I$16-$B$10+$M$94+IF($C$77="x",2)-IF($C$78="x",4)-IF($I$78="x",1)-IF($I$77="x",2)-IF($I$90="x",2)+IF($I$83="x",2)-IF($C$76="x",4)-$C$112+IF(H203="x",1)+I203+$M$77+IF(H205="x",1)+IF(J205="x",1)+IF($M$76="x",2)+J203+IF($M$85="x",1)+IF($M$113="x",1)+IF($M$120="x",2)+IF($M$119="x",2)+IF($M$105="x",1)+IF($M$110="x",1)+IF($M$111="x",2)+IF($M$112="x",4)+IF($M$108="x",1)-IF($M$109="x",1)-IF($M$99="x",1)+IF($M$90="x",1)-6,
$B$3&lt;6,
SUM($C$3,$I$3)+IF(H207="x",1)+$I$16-$B$10+$M$94+IF($C$77="x",2)-IF($C$78="x",4)-IF($I$78="x",1)-IF($I$77="x",2)-IF($I$90="x",2)+IF($I$83="x",2)-IF($C$76="x",4)-$C$112+IF(H203="x",1)+I203+$M$77+IF(H205="x",1)+IF(J205="x",1)+IF($M$76="x",2)+J203+IF($M$85="x",1)+IF($M$113="x",1)+IF($M$120="x",2)+IF($M$119="x",2)+IF($M$105="x",1)+IF($M$110="x",1)+IF($M$111="x",2)+IF($M$112="x",4)+IF($M$108="x",1)-IF($M$109="x",1)-IF($M$99="x",1)+IF($M$90="x",1)-6,
$B$3&lt;11,
SUM($C$3,$I$3)+IF(H207="x",1)+$I$16-$B$10+$M$94+IF($C$77="x",2)-IF($C$78="x",4)-IF($I$78="x",1)-IF($I$77="x",2)-IF($I$90="x",2)+IF($I$83="x",2)-IF($C$76="x",4)-$C$112+IF(H203="x",1)+I203+$M$77+IF(H205="x",1)+IF(J205="x",1)+IF($M$76="x",2)+J203+IF($M$85="x",1)+IF($M$113="x",1)+IF($M$120="x",2)+IF($M$119="x",2)+IF($M$105="x",1)+IF($M$110="x",1)+IF($M$111="x",2)+IF($M$112="x",4)+IF($M$108="x",1)-IF($M$109="x",1)-IF($M$99="x",1)+IF($M$90="x",1)-6
&amp;"/"&amp;SUM($C$3,$I$3)+IF(H207="x",1)+$I$16-$B$10+$M$94+IF($C$77="x",2)-IF($C$78="x",4)-IF($I$78="x",1)-IF($I$77="x",2)-IF($I$90="x",2)+IF($I$83="x",2)-IF($C$76="x",4)-$C$112+IF(H203="x",1)+I203+$M$77+IF(H205="x",1)+IF(J205="x",1)+IF($M$76="x",2)+J203+IF($M$85="x",1)+IF($M$113="x",1)+IF($M$120="x",2)+IF($M$119="x",2)+IF($M$105="x",1)+IF($M$110="x",1)+IF($M$111="x",2)+IF($M$112="x",4)+IF($M$108="x",1)-IF($M$109="x",1)-IF($M$99="x",1)+IF($M$90="x",1)-5-6,
$B$3&lt;16,
SUM($C$3,$I$3)+IF(H207="x",1)+$I$16-$B$10+$M$94+IF($C$77="x",2)-IF($C$78="x",4)-IF($I$78="x",1)-IF($I$77="x",2)-IF($I$90="x",2)+IF($I$83="x",2)-IF($C$76="x",4)-$C$112+IF(H203="x",1)+I203+$M$77+IF(H205="x",1)+IF(J205="x",1)+IF($M$76="x",2)+J203+IF($M$85="x",1)+IF($M$113="x",1)+IF($M$120="x",2)+IF($M$119="x",2)+IF($M$105="x",1)+IF($M$110="x",1)+IF($M$111="x",2)+IF($M$112="x",4)+IF($M$108="x",1)-IF($M$109="x",1)-IF($M$99="x",1)+IF($M$90="x",1)-6
&amp;"/"&amp;SUM($C$3,$I$3)+IF(H207="x",1)+$I$16-$B$10+$M$94+IF($C$77="x",2)-IF($C$78="x",4)-IF($I$78="x",1)-IF($I$77="x",2)-IF($I$90="x",2)+IF($I$83="x",2)-IF($C$76="x",4)-$C$112+IF(H203="x",1)+I203+$M$77+IF(H205="x",1)+IF(J205="x",1)+IF($M$76="x",2)+J203+IF($M$85="x",1)+IF($M$113="x",1)+IF($M$120="x",2)+IF($M$119="x",2)+IF($M$105="x",1)+IF($M$110="x",1)+IF($M$111="x",2)+IF($M$112="x",4)+IF($M$108="x",1)-IF($M$109="x",1)-IF($M$99="x",1)+IF($M$90="x",1)-5-6
&amp;"/"&amp;SUM($C$3,$I$3)+IF(H207="x",1)+$I$16-$B$10+$M$94+IF($C$77="x",2)-IF($C$78="x",4)-IF($I$78="x",1)-IF($I$77="x",2)-IF($I$90="x",2)+IF($I$83="x",2)-IF($C$76="x",4)-$C$112+IF(H203="x",1)+I203+$M$77+IF(H205="x",1)+IF(J205="x",1)+IF($M$76="x",2)+J203+IF($M$85="x",1)+IF($M$113="x",1)+IF($M$120="x",2)+IF($M$119="x",2)+IF($M$105="x",1)+IF($M$110="x",1)+IF($M$111="x",2)+IF($M$112="x",4)+IF($M$108="x",1)-IF($M$109="x",1)-IF($M$99="x",1)+IF($M$90="x",1)-10-6,
$B$3&gt;=16,
SUM($C$3,$I$3)+IF(H207="x",1)+$I$16-$B$10+$M$94+IF($C$77="x",2)-IF($C$78="x",4)-IF($I$78="x",1)-IF($I$77="x",2)-IF($I$90="x",2)+IF($I$83="x",2)-IF($C$76="x",4)-$C$112+IF(H203="x",1)+I203+$M$77+IF(H205="x",1)+IF(J205="x",1)+IF($M$76="x",2)+J203+IF($M$85="x",1)+IF($M$113="x",1)+IF($M$120="x",2)+IF($M$119="x",2)+IF($M$105="x",1)+IF($M$110="x",1)+IF($M$111="x",2)+IF($M$112="x",4)+IF($M$108="x",1)-IF($M$109="x",1)-IF($M$99="x",1)+IF($M$90="x",1)-6
&amp;"/"&amp;SUM($C$3,$I$3)+IF(H207="x",1)+$I$16-$B$10+$M$94+IF($C$77="x",2)-IF($C$78="x",4)-IF($I$78="x",1)-IF($I$77="x",2)-IF($I$90="x",2)+IF($I$83="x",2)-IF($C$76="x",4)-$C$112+IF(H203="x",1)+I203+$M$77+IF(H205="x",1)+IF(J205="x",1)+IF($M$76="x",2)+J203+IF($M$85="x",1)+IF($M$113="x",1)+IF($M$120="x",2)+IF($M$119="x",2)+IF($M$105="x",1)+IF($M$110="x",1)+IF($M$111="x",2)+IF($M$112="x",4)+IF($M$108="x",1)-IF($M$109="x",1)-IF($M$99="x",1)+IF($M$90="x",1)-5-6
&amp;"/"&amp;SUM($C$3,$I$3)+IF(H207="x",1)+$I$16-$B$10+$M$94+IF($C$77="x",2)-IF($C$78="x",4)-IF($I$78="x",1)-IF($I$77="x",2)-IF($I$90="x",2)+IF($I$83="x",2)-IF($C$76="x",4)-$C$112+IF(H203="x",1)+I203+$M$77+IF(H205="x",1)+IF(J205="x",1)+IF($M$76="x",2)+J203+IF($M$85="x",1)+IF($M$113="x",1)+IF($M$120="x",2)+IF($M$119="x",2)+IF($M$105="x",1)+IF($M$110="x",1)+IF($M$111="x",2)+IF($M$112="x",4)+IF($M$108="x",1)-IF($M$109="x",1)-IF($M$99="x",1)+IF($M$90="x",1)-10-6
&amp;"/"&amp;SUM($C$3,$I$3)+IF(H207="x",1)+$I$16-$B$10+$M$94+IF($C$77="x",2)-IF($C$78="x",4)-IF($I$78="x",1)-IF($I$77="x",2)-IF($I$90="x",2)+IF($I$83="x",2)-IF($C$76="x",4)-$C$112+IF(H203="x",1)+I203+$M$77+IF(H205="x",1)+IF(J205="x",1)+IF($M$76="x",2)+J203+IF($M$85="x",1)+IF($M$113="x",1)+IF($M$120="x",2)+IF($M$119="x",2)+IF($M$105="x",1)+IF($M$110="x",1)+IF($M$111="x",2)+IF($M$112="x",4)+IF($M$108="x",1)-IF($M$109="x",1)-IF($M$99="x",1)+IF($M$90="x",1)-15-6)</f>
        <v>-6</v>
      </c>
      <c r="C212" s="82"/>
      <c r="D212" s="121"/>
      <c r="E212" s="82"/>
      <c r="F212" s="82"/>
      <c r="G212" s="123" t="str">
        <f>(IF($I$89="x","50 %","")&amp;(IF($C$81="x","20 %",""))&amp;(IF($C$82="x","50 %","")))</f>
        <v/>
      </c>
      <c r="H212" s="15"/>
      <c r="I212" s="15"/>
      <c r="AB212" s="115"/>
      <c r="AC212" s="116"/>
      <c r="AD212" s="116"/>
      <c r="AE212" s="116"/>
      <c r="AF212" s="116"/>
      <c r="AG212" s="116"/>
      <c r="AH212" s="116"/>
      <c r="AI212" s="48"/>
      <c r="AJ212" s="48"/>
      <c r="AK212" s="48"/>
      <c r="AL212" s="48"/>
    </row>
    <row r="213" spans="1:38" x14ac:dyDescent="0.2">
      <c r="A213" s="126">
        <f>A209*5</f>
        <v>50</v>
      </c>
      <c r="B213" s="121">
        <f>_xlfn.IFS($I$85="x",
"PAINISSA",
$C$106="",
SUM($C$3,$I$3)+IF(H207="x",1)+$I$16-$B$10+$M$94+IF($C$77="x",2)-IF($C$78="x",4)-IF($I$78="x",1)-IF($I$77="x",2)-IF($I$90="x",2)+IF($I$83="x",2)-IF($C$76="x",4)-$C$112+IF(H203="x",1)+I203+$M$77+IF(H205="x",1)+IF(J205="x",1)+IF($M$76="x",2)+J203+IF($M$85="x",1)+IF($M$113="x",1)+IF($M$120="x",2)+IF($M$119="x",2)+IF($M$105="x",1)+IF($M$110="x",1)+IF($M$111="x",2)+IF($M$112="x",4)+IF($M$108="x",1)-IF($M$109="x",1)-IF($M$99="x",1)+IF($M$90="x",1)-8,
$B$3&lt;6,
SUM($C$3,$I$3)+IF(H207="x",1)+$I$16-$B$10+$M$94+IF($C$77="x",2)-IF($C$78="x",4)-IF($I$78="x",1)-IF($I$77="x",2)-IF($I$90="x",2)+IF($I$83="x",2)-IF($C$76="x",4)-$C$112+IF(H203="x",1)+I203+$M$77+IF(H205="x",1)+IF(J205="x",1)+IF($M$76="x",2)+J203+IF($M$85="x",1)+IF($M$113="x",1)+IF($M$120="x",2)+IF($M$119="x",2)+IF($M$105="x",1)+IF($M$110="x",1)+IF($M$111="x",2)+IF($M$112="x",4)+IF($M$108="x",1)-IF($M$109="x",1)-IF($M$99="x",1)+IF($M$90="x",1)-8,
$B$3&lt;11,
SUM($C$3,$I$3)+IF(H207="x",1)+$I$16-$B$10+$M$94+IF($C$77="x",2)-IF($C$78="x",4)-IF($I$78="x",1)-IF($I$77="x",2)-IF($I$90="x",2)+IF($I$83="x",2)-IF($C$76="x",4)-$C$112+IF(H203="x",1)+I203+$M$77+IF(H205="x",1)+IF(J205="x",1)+IF($M$76="x",2)+J203+IF($M$85="x",1)+IF($M$113="x",1)+IF($M$120="x",2)+IF($M$119="x",2)+IF($M$105="x",1)+IF($M$110="x",1)+IF($M$111="x",2)+IF($M$112="x",4)+IF($M$108="x",1)-IF($M$109="x",1)-IF($M$99="x",1)+IF($M$90="x",1)-8
&amp;"/"&amp;SUM($C$3,$I$3)+IF(H207="x",1)+$I$16-$B$10+$M$94+IF($C$77="x",2)-IF($C$78="x",4)-IF($I$78="x",1)-IF($I$77="x",2)-IF($I$90="x",2)+IF($I$83="x",2)-IF($C$76="x",4)-$C$112+IF(H203="x",1)+I203+$M$77+IF(H205="x",1)+IF(J205="x",1)+IF($M$76="x",2)+J203+IF($M$85="x",1)+IF($M$113="x",1)+IF($M$120="x",2)+IF($M$119="x",2)+IF($M$105="x",1)+IF($M$110="x",1)+IF($M$111="x",2)+IF($M$112="x",4)+IF($M$108="x",1)-IF($M$109="x",1)-IF($M$99="x",1)+IF($M$90="x",1)-5-8,
$B$3&lt;16,
SUM($C$3,$I$3)+IF(H207="x",1)+$I$16-$B$10+$M$94+IF($C$77="x",2)-IF($C$78="x",4)-IF($I$78="x",1)-IF($I$77="x",2)-IF($I$90="x",2)+IF($I$83="x",2)-IF($C$76="x",4)-$C$112+IF(H203="x",1)+I203+$M$77+IF(H205="x",1)+IF(J205="x",1)+IF($M$76="x",2)+J203+IF($M$85="x",1)+IF($M$113="x",1)+IF($M$120="x",2)+IF($M$119="x",2)+IF($M$105="x",1)+IF($M$110="x",1)+IF($M$111="x",2)+IF($M$112="x",4)+IF($M$108="x",1)-IF($M$109="x",1)-IF($M$99="x",1)+IF($M$90="x",1)-8
&amp;"/"&amp;SUM($C$3,$I$3)+IF(H207="x",1)+$I$16-$B$10+$M$94+IF($C$77="x",2)-IF($C$78="x",4)-IF($I$78="x",1)-IF($I$77="x",2)-IF($I$90="x",2)+IF($I$83="x",2)-IF($C$76="x",4)-$C$112+IF(H203="x",1)+I203+$M$77+IF(H205="x",1)+IF(J205="x",1)+IF($M$76="x",2)+J203+IF($M$85="x",1)+IF($M$113="x",1)+IF($M$120="x",2)+IF($M$119="x",2)+IF($M$105="x",1)+IF($M$110="x",1)+IF($M$111="x",2)+IF($M$112="x",4)+IF($M$108="x",1)-IF($M$109="x",1)-IF($M$99="x",1)+IF($M$90="x",1)-5-8
&amp;"/"&amp;SUM($C$3,$I$3)+IF(H207="x",1)+$I$16-$B$10+$M$94+IF($C$77="x",2)-IF($C$78="x",4)-IF($I$78="x",1)-IF($I$77="x",2)-IF($I$90="x",2)+IF($I$83="x",2)-IF($C$76="x",4)-$C$112+IF(H203="x",1)+I203+$M$77+IF(H205="x",1)+IF(J205="x",1)+IF($M$76="x",2)+J203+IF($M$85="x",1)+IF($M$113="x",1)+IF($M$120="x",2)+IF($M$119="x",2)+IF($M$105="x",1)+IF($M$110="x",1)+IF($M$111="x",2)+IF($M$112="x",4)+IF($M$108="x",1)-IF($M$109="x",1)-IF($M$99="x",1)+IF($M$90="x",1)-10-8,
$B$3&gt;=16,
SUM($C$3,$I$3)+IF(H207="x",1)+$I$16-$B$10+$M$94+IF($C$77="x",2)-IF($C$78="x",4)-IF($I$78="x",1)-IF($I$77="x",2)-IF($I$90="x",2)+IF($I$83="x",2)-IF($C$76="x",4)-$C$112+IF(H203="x",1)+I203+$M$77+IF(H205="x",1)+IF(J205="x",1)+IF($M$76="x",2)+J203+IF($M$85="x",1)+IF($M$113="x",1)+IF($M$120="x",2)+IF($M$119="x",2)+IF($M$105="x",1)+IF($M$110="x",1)+IF($M$111="x",2)+IF($M$112="x",4)+IF($M$108="x",1)-IF($M$109="x",1)-IF($M$99="x",1)+IF($M$90="x",1)-8
&amp;"/"&amp;SUM($C$3,$I$3)+IF(H207="x",1)+$I$16-$B$10+$M$94+IF($C$77="x",2)-IF($C$78="x",4)-IF($I$78="x",1)-IF($I$77="x",2)-IF($I$90="x",2)+IF($I$83="x",2)-IF($C$76="x",4)-$C$112+IF(H203="x",1)+I203+$M$77+IF(H205="x",1)+IF(J205="x",1)+IF($M$76="x",2)+J203+IF($M$85="x",1)+IF($M$113="x",1)+IF($M$120="x",2)+IF($M$119="x",2)+IF($M$105="x",1)+IF($M$110="x",1)+IF($M$111="x",2)+IF($M$112="x",4)+IF($M$108="x",1)-IF($M$109="x",1)-IF($M$99="x",1)+IF($M$90="x",1)-5-8
&amp;"/"&amp;SUM($C$3,$I$3)+IF(H207="x",1)+$I$16-$B$10+$M$94+IF($C$77="x",2)-IF($C$78="x",4)-IF($I$78="x",1)-IF($I$77="x",2)-IF($I$90="x",2)+IF($I$83="x",2)-IF($C$76="x",4)-$C$112+IF(H203="x",1)+I203+$M$77+IF(H205="x",1)+IF(J205="x",1)+IF($M$76="x",2)+J203+IF($M$85="x",1)+IF($M$113="x",1)+IF($M$120="x",2)+IF($M$119="x",2)+IF($M$105="x",1)+IF($M$110="x",1)+IF($M$111="x",2)+IF($M$112="x",4)+IF($M$108="x",1)-IF($M$109="x",1)-IF($M$99="x",1)+IF($M$90="x",1)-10-8
&amp;"/"&amp;SUM($C$3,$I$3)+IF(H207="x",1)+$I$16-$B$10+$M$94+IF($C$77="x",2)-IF($C$78="x",4)-IF($I$78="x",1)-IF($I$77="x",2)-IF($I$90="x",2)+IF($I$83="x",2)-IF($C$76="x",4)-$C$112+IF(H203="x",1)+I203+$M$77+IF(H205="x",1)+IF(J205="x",1)+IF($M$76="x",2)+J203+IF($M$85="x",1)+IF($M$113="x",1)+IF($M$120="x",2)+IF($M$119="x",2)+IF($M$105="x",1)+IF($M$110="x",1)+IF($M$111="x",2)+IF($M$112="x",4)+IF($M$108="x",1)-IF($M$109="x",1)-IF($M$99="x",1)+IF($M$90="x",1)-15-8)</f>
        <v>-8</v>
      </c>
      <c r="C213" s="82"/>
      <c r="D213" s="121"/>
      <c r="E213" s="82"/>
      <c r="F213" s="82"/>
      <c r="G213" s="82" t="str">
        <f>(IF($I$89="x","50 %","")&amp;(IF($C$81="x","20 %",""))&amp;(IF($C$82="x","50 %","")))</f>
        <v/>
      </c>
      <c r="H213" s="15"/>
      <c r="I213" s="15"/>
      <c r="AB213" s="128"/>
      <c r="AC213" s="66"/>
      <c r="AD213" s="66"/>
      <c r="AE213" s="129"/>
      <c r="AF213" s="66"/>
      <c r="AG213" s="66"/>
      <c r="AH213" s="66"/>
      <c r="AI213" s="40"/>
      <c r="AJ213" s="40"/>
      <c r="AK213" s="40"/>
      <c r="AL213" s="40"/>
    </row>
    <row r="214" spans="1:38" x14ac:dyDescent="0.2">
      <c r="B214" s="15"/>
      <c r="C214" s="15"/>
      <c r="D214" s="15"/>
      <c r="F214" s="15"/>
      <c r="G214" s="15"/>
      <c r="H214" s="15"/>
      <c r="I214" s="15"/>
      <c r="AB214" s="47"/>
      <c r="AC214" s="113"/>
      <c r="AD214" s="114"/>
      <c r="AE214" s="113"/>
      <c r="AF214" s="114"/>
      <c r="AG214" s="114"/>
      <c r="AH214" s="114"/>
      <c r="AI214" s="48"/>
      <c r="AJ214" s="48"/>
      <c r="AK214" s="48"/>
      <c r="AL214" s="48"/>
    </row>
    <row r="215" spans="1:38" x14ac:dyDescent="0.2">
      <c r="B215" s="15"/>
      <c r="C215" s="15"/>
      <c r="D215" s="15"/>
      <c r="F215" s="15"/>
      <c r="G215" s="15"/>
      <c r="H215" s="15"/>
      <c r="I215" s="15"/>
      <c r="AB215" s="50"/>
      <c r="AC215" s="51"/>
      <c r="AD215" s="49"/>
      <c r="AE215" s="51"/>
      <c r="AF215" s="49"/>
      <c r="AG215" s="66"/>
      <c r="AH215" s="49"/>
      <c r="AI215" s="40"/>
      <c r="AJ215" s="40"/>
      <c r="AK215" s="40"/>
      <c r="AL215" s="40"/>
    </row>
    <row r="216" spans="1:38" x14ac:dyDescent="0.2">
      <c r="A216" s="34" t="s">
        <v>309</v>
      </c>
      <c r="B216" s="130" t="s">
        <v>1</v>
      </c>
      <c r="C216" s="130" t="s">
        <v>2</v>
      </c>
      <c r="D216" s="130" t="s">
        <v>3</v>
      </c>
      <c r="E216" s="130" t="s">
        <v>229</v>
      </c>
      <c r="F216" s="130" t="s">
        <v>3</v>
      </c>
      <c r="G216" s="130" t="s">
        <v>45</v>
      </c>
      <c r="H216" s="14" t="s">
        <v>179</v>
      </c>
      <c r="I216" s="130" t="s">
        <v>242</v>
      </c>
      <c r="J216" s="130" t="s">
        <v>224</v>
      </c>
      <c r="K216" s="130" t="s">
        <v>225</v>
      </c>
      <c r="AB216" s="50"/>
      <c r="AC216" s="49"/>
      <c r="AD216" s="49"/>
      <c r="AE216" s="51"/>
      <c r="AF216" s="49"/>
      <c r="AG216" s="66"/>
      <c r="AH216" s="49"/>
      <c r="AI216" s="48"/>
      <c r="AJ216" s="57"/>
      <c r="AK216" s="57"/>
      <c r="AL216" s="57"/>
    </row>
    <row r="217" spans="1:38" x14ac:dyDescent="0.2">
      <c r="A217" s="131" t="s">
        <v>219</v>
      </c>
      <c r="B217" s="12">
        <f>IF($I$85="x","PAINISSA",IF($C$3&lt;=5,SUM($C$3,$I$2)-$C$120+IF($C$75="x",2)+$I$16-$B$10+$M$94+IF($C$77="x",2)-IF($C$78="x",4)-IF($I$78="x",1)-IF($C$79="x",4)+IF($C$80="x",1)-IF($I$77="x",2)-IF($I$90="x",2)+IF($I$83="x",2)-IF($C$75="x",4)-$C$112+IF(H217="x",1)+I217+$M$77+IF(H219="x",1)+IF(J219="x",1)+IF($M$76="x",2)+J217+IF($M$85="x",1)+IF($M$113="x",1)+IF($M$120="x",2)+IF($M$119="x",2)+IF($M$105="x",1)+IF($M$110="x",1)+IF($M$111="x",2)+IF($M$112="x",4)+IF($M$108="x",1)-IF($M$109="x",1)-IF($M$99="x",1)+IF($M$90="x",1),
IF(AND($C$3&gt;5,$C$3&lt;11),SUM($C$3,$I$2)-$C$120+IF($C$75="x",2)+$I$16-$B$10+$M$94+IF($C$77="x",2)-IF($C$78="x",4)-IF($I$78="x",1)-IF($C$79="x",4)+IF($C$80="x",1)-IF($I$77="x",2)-IF($I$90="x",2)+IF($I$83="x",2)-IF($C$83="x",4)-$C$112+IF(H217="x",1)+I217+$M$77+IF(H219="x",1)+IF(J219="x",1)+IF($M$76="x",2)+J217+IF($M$85="x",1)+IF($M$113="x",1)+IF($M$120="x",2)+IF($M$119="x",2)+IF($M$105="x",1)+IF($M$110="x",1)+IF($M$111="x",2)+IF($M$112="x",4)+IF($M$108="x",1)-IF($M$109="x",1)-IF($M$99="x",1)+IF($M$90="x",1)
&amp;"/"&amp;SUM($C$3,$I$2)-$C$120+IF($C$75="x",2)+$I$16-$B$10+$M$94+IF($C$77="x",2)-IF($C$78="x",4)-IF($I$78="x",1)-IF($C$79="x",4)+IF($C$80="x",1)-IF($I$77="x",2)-IF($I$90="x",2)+IF($I$83="x",2)-IF($C$83="x",4)-$C$112-5+IF(H217="x",1)+I217+$M$77+IF(H219="x",1)+IF(J219="x",1)+IF($M$76="x",2)+J217+IF($M$85="x",1)+IF($M$113="x",1)+IF($M$120="x",2)+IF($M$119="x",2)+IF($M$105="x",1)+IF($M$110="x",1)+IF($M$111="x",2)+IF($M$112="x",4)+IF($M$108="x",1)-IF($M$109="x",1)-IF($M$99="x",1)+IF($M$90="x",1),
IF(AND($C$3&gt;10,$C$3&lt;16),SUM($C$3,$I$2)-$C$120+IF($C$75="x",2)+$I$16-$B$10+$M$94+IF($C$77="x",2)-IF($C$78="x",4)-IF($I$78="x",1)-IF($C$79="x",4)+IF($C$80="x",1)-IF($I$77="x",2)-IF($I$90="x",2)+IF($I$83="x",2)-IF($C$83="x",4)-$C$112+IF(H217="x",1)+I217+$M$77+IF(H219="x",1)+IF(J219="x",1)+IF($M$76="x",2)+J217+IF($M$85="x",1)+IF($M$113="x",1)+IF($M$120="x",2)+IF($M$119="x",2)+IF($M$105="x",1)+IF($M$110="x",1)+IF($M$111="x",2)+IF($M$112="x",4)+IF($M$108="x",1)-IF($M$109="x",1)+IF($M$99="x",20)-IF($M$99="x",1)+IF($M$90="x",1)
&amp;"/"&amp;SUM($C$3,$I$2)-$C$120+IF($C$75="x",2)+$I$16-$B$10+$M$94+IF($C$77="x",2)-IF($C$78="x",4)-IF($I$78="x",1)-IF($C$79="x",4)+IF($C$80="x",1)-IF($I$77="x",2)-IF($I$90="x",2)+IF($I$83="x",2)-IF($C$83="x",4)-$C$112-5+IF(H698="x",1)+IF(H217="x",1)+I217+$M$77+IF(H219="x",1)+IF(J219="x",1)+IF($M$76="x",2)+J217+IF($M$85="x",1)+IF($M$113="x",1)+IF($M$120="x",2)+IF($M$119="x",2)+IF($M$105="x",1)+IF($M$110="x",1)+IF($M$111="x",2)+IF($M$112="x",4)+IF($M$108="x",1)-IF($M$109="x",1)-IF($M$99="x",1)+IF($M$90="x",1)
&amp;"/"&amp;SUM($C$3,$I$2)-$C$120+IF($C$75="x",2)+$I$16-$B$10+$M$94+IF($C$77="x",2)-IF($C$78="x",4)-IF($I$78="x",1)-IF($C$79="x",4)+IF($C$80="x",1)-IF($I$77="x",2)-IF($I$90="x",2)+IF($I$83="x",2)-IF($C$83="x",4)-$C$112-10+IF(H698="x",1)+IF(H217="x",1)+I217+$M$77+IF(H219="x",1)+IF(J219="x",1)+IF($M$76="x",2)+J217+IF($M$85="x",1)+IF($M$113="x",1)+IF($M$120="x",2)+IF($M$119="x",2)+IF($M$105="x",1)+IF($M$110="x",1)+IF($M$111="x",2)+IF($M$112="x",4)+IF($M$108="x",1)-IF($M$109="x",1)-IF($M$99="x",1)+IF($M$90="x",1),
IF(AND($C$3&gt;15),SUM($C$3,$I$2)-$C$120+IF($C$75="x",2)+$I$16-$B$10+$M$94+IF($C$77="x",2)-IF($C$78="x",4)-IF($I$78="x",1)-IF($C$79="x",4)+IF($C$80="x",1)-IF($I$77="x",2)-IF($I$90="x",2)+IF($I$83="x",2)-IF($C$83="x",4)-$C$112+IF(H217="x",1)+I217+$M$77+IF(H219="x",1)+IF(J219="x",1)+IF($M$76="x",2)+J217+IF($M$85="x",1)+IF($M$113="x",1)+IF($M$120="x",2)+IF($M$119="x",2)+IF($M$105="x",1)+IF($M$110="x",1)+IF($M$111="x",2)+IF($M$112="x",4)+IF($M$108="x",1)-IF($M$109="x",1)-IF($M$99="x",1)+IF($M$90="x",1)
&amp;"/"&amp;SUM($C$3,$I$2)-$C$120+IF($C$75="x",2)+$I$16-$B$10+$M$94+IF($C$77="x",2)-IF($C$78="x",4)-IF($I$78="x",1)-IF($C$79="x",4)+IF($C$80="x",1)-IF($I$77="x",2)-IF($I$90="x",2)+IF($I$83="x",2)-IF($C$83="x",4)-$C$112-5+IF(H698="x",1)+IF(H217="x",1)+I217+$M$77+IF(H219="x",1)+IF(J219="x",1)+IF($M$76="x",2)+J217+IF($M$85="x",1)+IF($M$113="x",1)+IF($M$120="x",2)+IF($M$119="x",2)+IF($M$105="x",1)+IF($M$110="x",1)+IF($M$111="x",2)+IF($M$112="x",4)+IF($M$108="x",1)-IF($M$109="x",1)-IF($M$99="x",1)+IF($M$90="x",1)
&amp;"/"&amp;SUM($C$3,$I$2)-$C$120+IF($C$75="x",2)+$I$16-$B$10+$M$94+IF($C$77="x",2)-IF($C$78="x",4)-IF($I$78="x",1)-IF($C$79="x",4)+IF($C$80="x",1)-IF($I$77="x",2)-IF($I$90="x",2)+IF($I$83="x",2)-IF($C$83="x",4)-$C$112-10+IF(H698="x",1)+IF(H217="x",1)+I217+$M$77+IF(H219="x",1)+IF(J219="x",1)+IF($M$76="x",2)+J217+IF($M$85="x",1)+IF($M$113="x",1)+IF($M$120="x",2)+IF($M$119="x",2)+IF($M$105="x",1)+IF($M$110="x",1)+IF($M$111="x",2)+IF($M$112="x",4)+IF($M$108="x",1)-IF($M$109="x",1)-IF($M$99="x",1)+IF($M$90="x",1)
&amp;"/"&amp;SUM($C$3,$I$2)-$C$120+IF($C$75="x",2)+$I$16-$B$10+$M$94+IF($C$77="x",2)-IF($C$78="x",4)-IF($I$78="x",1)-IF($C$79="x",4)+IF($C$80="x",1)-IF($I$77="x",2)-IF($I$90="x",2)+IF($I$83="x",2)-IF($C$83="x",4)-$C$112-15+IF(H698="x",1)+IF(H217="x",1)+I217+$M$77+IF(H219="x",1)+IF(J219="x",1)+IF($M$76="x",2)+J217+IF($M$85="x",1)+IF($M$113="x",1)+IF($M$120="x",2)+IF($M$119="x",2)+IF($M$105="x",1)+IF($M$110="x",1)+IF($M$111="x",2)+IF($M$112="x",4)+IF($M$108="x",1)-IF($M$109="x",1)-IF($M$99="x",1)+IF($M$90="x",1))))))</f>
        <v>0</v>
      </c>
      <c r="C217" s="49" t="str">
        <f>_xlfn.IFS($C$7="Minimaalinen","1",$C$7="Taskukokoinen","1n2",$C$7="Hyvin pieni","1n3",$C$7="Pieni","1n4",$C$7="Keskikokoinen","1n6",$C$7="Iso","1n8",$C$7="Valtava","2n6",$C$7="Suunnaton","3n6",$C$7="Giganttinen","4n6")</f>
        <v>1n6</v>
      </c>
      <c r="D217" s="132">
        <f>SUM($I$2+$C$120)+I217+$M$77+IF(I219="x",2)+IF(K219="x",2)+IF($M$119="x",2)+IF($M$108="x",1)+$M$94-IF($M$109="x",1)+K217</f>
        <v>0</v>
      </c>
      <c r="E217" s="49" t="str">
        <f>_xlfn.IFS($C$7="Minimaalinen","2",$C$7="Taskukokoinen","2n2",$C$7="Hyvin pieni","2n3",$C$7="Pieni","2n4",$C$7="Keskikokoinen","2n6",$C$7="Iso","2n8",$C$7="Valtava","4n6",$C$7="Suunnaton","6n6",$C$7="Giganttinen","8n6")</f>
        <v>2n6</v>
      </c>
      <c r="F217" s="12">
        <f>SUM(D217*2)</f>
        <v>0</v>
      </c>
      <c r="G217" s="12" t="str">
        <f>(IF($I$89="x","50 %","")&amp;(IF($C$81="x","20 %",""))&amp;(IF($C$82="x","50 %","")))</f>
        <v/>
      </c>
      <c r="H217" s="28"/>
      <c r="I217" s="17">
        <v>0</v>
      </c>
      <c r="J217" s="17">
        <v>0</v>
      </c>
      <c r="K217" s="17">
        <v>0</v>
      </c>
      <c r="AB217" s="52"/>
      <c r="AC217" s="53"/>
      <c r="AD217" s="54"/>
      <c r="AE217" s="53"/>
      <c r="AF217" s="54"/>
      <c r="AG217" s="66"/>
      <c r="AH217" s="54"/>
      <c r="AI217" s="40"/>
      <c r="AJ217" s="60"/>
      <c r="AK217" s="57"/>
      <c r="AL217" s="61"/>
    </row>
    <row r="218" spans="1:38" x14ac:dyDescent="0.2">
      <c r="A218" s="58" t="s">
        <v>8</v>
      </c>
      <c r="B218" s="119">
        <f>IF($I$85="x","PAINISSA",IF($C$3&lt;=5,SUM($C$3,$I$2)-$C$120+IF($C$75="x",2)+$I$16-$B$10+$M$94+IF($C$77="x",2)-IF($C$78="x",4)-IF($I$78="x",1)-IF($C$79="x",4)+IF($C$80="x",1)-IF($I$77="x",2)-IF($I$90="x",2)+IF($I$83="x",2)-IF($C$75="x",4)-$C$112+IF(H217="x",1)+I217+$M$77+IF(H219="x",1)+IF(J219="x",1)+IF($M$76="x",2)+J217+IF($M$85="x",1)+IF($M$113="x",1)+IF($M$120="x",2)+IF($M$119="x",2)+IF($M$105="x",1)+IF($M$110="x",1)+IF($M$111="x",2)+IF($M$112="x",4)+IF($M$108="x",1)-IF($M$109="x",1)-IF($M$99="x",1)+IF($M$90="x",1),
IF(AND($C$3&gt;5,$C$3&lt;11),SUM($C$3,$I$2)-$C$120+IF($C$75="x",2)+$I$16-$B$10+$M$94+IF($C$77="x",2)-IF($C$78="x",4)-IF($I$78="x",1)-IF($C$79="x",4)+IF($C$80="x",1)-IF($I$77="x",2)-IF($I$90="x",2)+IF($I$83="x",2)-IF($C$83="x",4)-$C$112+IF(H217="x",1)+I217+$M$77+IF(H219="x",1)+IF(J219="x",1)+IF($M$76="x",2)+J217+IF($M$85="x",1)+IF($M$113="x",1)+IF($M$120="x",2)+IF($M$119="x",2)+IF($M$105="x",1)+IF($M$110="x",1)+IF($M$111="x",2)+IF($M$112="x",4)+IF($M$108="x",1)-IF($M$109="x",1)-IF($M$99="x",1)+IF($M$90="x",1)
&amp;"/"&amp;SUM($C$3,$I$2)-$C$120+IF($C$75="x",2)+$I$16-$B$10+$M$94+IF($C$77="x",2)-IF($C$78="x",4)-IF($I$78="x",1)-IF($C$79="x",4)+IF($C$80="x",1)-IF($I$77="x",2)-IF($I$90="x",2)+IF($I$83="x",2)-IF($C$83="x",4)-$C$112-5+IF(H217="x",1)+I217+$M$77+IF(H219="x",1)+IF(J219="x",1)+IF($M$76="x",2)+J217+IF($M$85="x",1)+IF($M$113="x",1)+IF($M$120="x",2)+IF($M$119="x",2)+IF($M$105="x",1)+IF($M$110="x",1)+IF($M$111="x",2)+IF($M$112="x",4)+IF($M$108="x",1)-IF($M$109="x",1)-IF($M$99="x",1)+IF($M$90="x",1),
IF(AND($C$3&gt;10,$C$3&lt;16),SUM($C$3,$I$2)-$C$120+IF($C$75="x",2)+$I$16-$B$10+$M$94+IF($C$77="x",2)-IF($C$78="x",4)-IF($I$78="x",1)-IF($C$79="x",4)+IF($C$80="x",1)-IF($I$77="x",2)-IF($I$90="x",2)+IF($I$83="x",2)-IF($C$83="x",4)-$C$112+IF(H217="x",1)+I217+$M$77+IF(H219="x",1)+IF(J219="x",1)+IF($M$76="x",2)+J217+IF($M$85="x",1)+IF($M$113="x",1)+IF($M$120="x",2)+IF($M$119="x",2)+IF($M$105="x",1)+IF($M$110="x",1)+IF($M$111="x",2)+IF($M$112="x",4)+IF($M$108="x",1)-IF($M$109="x",1)+IF($M$99="x",20)-IF($M$99="x",1)+IF($M$90="x",1)
&amp;"/"&amp;SUM($C$3,$I$2)-$C$120+IF($C$75="x",2)+$I$16-$B$10+$M$94+IF($C$77="x",2)-IF($C$78="x",4)-IF($I$78="x",1)-IF($C$79="x",4)+IF($C$80="x",1)-IF($I$77="x",2)-IF($I$90="x",2)+IF($I$83="x",2)-IF($C$83="x",4)-$C$112-5+IF(H698="x",1)+IF(H217="x",1)+I217+$M$77+IF(H219="x",1)+IF(J219="x",1)+IF($M$76="x",2)+J217+IF($M$85="x",1)+IF($M$113="x",1)+IF($M$120="x",2)+IF($M$119="x",2)+IF($M$105="x",1)+IF($M$110="x",1)+IF($M$111="x",2)+IF($M$112="x",4)+IF($M$108="x",1)-IF($M$109="x",1)-IF($M$99="x",1)+IF($M$90="x",1)
&amp;"/"&amp;SUM($C$3,$I$2)-$C$120+IF($C$75="x",2)+$I$16-$B$10+$M$94+IF($C$77="x",2)-IF($C$78="x",4)-IF($I$78="x",1)-IF($C$79="x",4)+IF($C$80="x",1)-IF($I$77="x",2)-IF($I$90="x",2)+IF($I$83="x",2)-IF($C$83="x",4)-$C$112-10+IF(H698="x",1)+IF(H217="x",1)+I217+$M$77+IF(H219="x",1)+IF(J219="x",1)+IF($M$76="x",2)+J217+IF($M$85="x",1)+IF($M$113="x",1)+IF($M$120="x",2)+IF($M$119="x",2)+IF($M$105="x",1)+IF($M$110="x",1)+IF($M$111="x",2)+IF($M$112="x",4)+IF($M$108="x",1)-IF($M$109="x",1)-IF($M$99="x",1)+IF($M$90="x",1),
IF(AND($C$3&gt;15),SUM($C$3,$I$2)-$C$120+IF($C$75="x",2)+$I$16-$B$10+$M$94+IF($C$77="x",2)-IF($C$78="x",4)-IF($I$78="x",1)-IF($C$79="x",4)+IF($C$80="x",1)-IF($I$77="x",2)-IF($I$90="x",2)+IF($I$83="x",2)-IF($C$83="x",4)-$C$112+IF(H217="x",1)+I217+$M$77+IF(H219="x",1)+IF(J219="x",1)+IF($M$76="x",2)+J217+IF($M$85="x",1)+IF($M$113="x",1)+IF($M$120="x",2)+IF($M$119="x",2)+IF($M$105="x",1)+IF($M$110="x",1)+IF($M$111="x",2)+IF($M$112="x",4)+IF($M$108="x",1)-IF($M$109="x",1)-IF($M$99="x",1)+IF($M$90="x",1)
&amp;"/"&amp;SUM($C$3,$I$2)-$C$120+IF($C$75="x",2)+$I$16-$B$10+$M$94+IF($C$77="x",2)-IF($C$78="x",4)-IF($I$78="x",1)-IF($C$79="x",4)+IF($C$80="x",1)-IF($I$77="x",2)-IF($I$90="x",2)+IF($I$83="x",2)-IF($C$83="x",4)-$C$112-5+IF(H698="x",1)+IF(H217="x",1)+I217+$M$77+IF(H219="x",1)+IF(J219="x",1)+IF($M$76="x",2)+J217+IF($M$85="x",1)+IF($M$113="x",1)+IF($M$120="x",2)+IF($M$119="x",2)+IF($M$105="x",1)+IF($M$110="x",1)+IF($M$111="x",2)+IF($M$112="x",4)+IF($M$108="x",1)-IF($M$109="x",1)-IF($M$99="x",1)+IF($M$90="x",1)
&amp;"/"&amp;SUM($C$3,$I$2)-$C$120+IF($C$75="x",2)+$I$16-$B$10+$M$94+IF($C$77="x",2)-IF($C$78="x",4)-IF($I$78="x",1)-IF($C$79="x",4)+IF($C$80="x",1)-IF($I$77="x",2)-IF($I$90="x",2)+IF($I$83="x",2)-IF($C$83="x",4)-$C$112-10+IF(H698="x",1)+IF(H217="x",1)+I217+$M$77+IF(H219="x",1)+IF(J219="x",1)+IF($M$76="x",2)+J217+IF($M$85="x",1)+IF($M$113="x",1)+IF($M$120="x",2)+IF($M$119="x",2)+IF($M$105="x",1)+IF($M$110="x",1)+IF($M$111="x",2)+IF($M$112="x",4)+IF($M$108="x",1)-IF($M$109="x",1)-IF($M$99="x",1)+IF($M$90="x",1)
&amp;"/"&amp;SUM($C$3,$I$2)-$C$120+IF($C$75="x",2)+$I$16-$B$10+$M$94+IF($C$77="x",2)-IF($C$78="x",4)-IF($I$78="x",1)-IF($C$79="x",4)+IF($C$80="x",1)-IF($I$77="x",2)-IF($I$90="x",2)+IF($I$83="x",2)-IF($C$83="x",4)-$C$112-15+IF(H698="x",1)+IF(H217="x",1)+I217+$M$77+IF(H219="x",1)+IF(J219="x",1)+IF($M$76="x",2)+J217+IF($M$85="x",1)+IF($M$113="x",1)+IF($M$120="x",2)+IF($M$119="x",2)+IF($M$105="x",1)+IF($M$110="x",1)+IF($M$111="x",2)+IF($M$112="x",4)+IF($M$108="x",1)-IF($M$109="x",1)-IF($M$99="x",1)+IF($M$90="x",1))))))</f>
        <v>0</v>
      </c>
      <c r="C218" s="114" t="str">
        <f>_xlfn.IFS($C$7="Minimaalinen","1",$C$7="Taskukokoinen","1n2",$C$7="Hyvin pieni","1n3",$C$7="Pieni","1n4",$C$7="Keskikokoinen","1n6",$C$7="Iso","1n8",$C$7="Valtava","2n6",$C$7="Suunnaton","3n6",$C$7="Giganttinen","4n6")</f>
        <v>1n6</v>
      </c>
      <c r="D218" s="119">
        <f>IF($I$2&lt;0,$I$2,INT($I$2*1.5))+($C$120*2)+I217+$M$77+IF(I219="x",2)+IF(K219="x",2)+IF($M$119="x",2)+IF($M$108="x",1)+$M$94-IF($M$109="x",1)+K217</f>
        <v>0</v>
      </c>
      <c r="E218" s="114" t="str">
        <f>_xlfn.IFS($C$7="Minimaalinen","2",$C$7="Taskukokoinen","2n2",$C$7="Hyvin pieni","2n3",$C$7="Pieni","2n4",$C$7="Keskikokoinen","2n6",$C$7="Iso","2n8",$C$7="Valtava","4n6",$C$7="Suunnaton","6n6",$C$7="Giganttinen","8n6")</f>
        <v>2n6</v>
      </c>
      <c r="F218" s="120">
        <f>SUM(D218*2)</f>
        <v>0</v>
      </c>
      <c r="G218" s="120" t="str">
        <f>(IF($I$89="x","50 %","")&amp;(IF($C$81="x","20 %",""))&amp;(IF($C$82="x","50 %","")))</f>
        <v/>
      </c>
      <c r="H218" s="14" t="s">
        <v>220</v>
      </c>
      <c r="I218" s="14" t="s">
        <v>221</v>
      </c>
      <c r="J218" s="14" t="s">
        <v>222</v>
      </c>
      <c r="K218" s="14" t="s">
        <v>223</v>
      </c>
    </row>
    <row r="219" spans="1:38" x14ac:dyDescent="0.2">
      <c r="A219" s="133" t="s">
        <v>438</v>
      </c>
      <c r="B219" s="121">
        <f>IF($I$85="x","PAINISSA",IF($C$3&lt;=5,SUM($C$3,$I$2)-$C$120+IF($C$75="x",2)+$I$16-$B$10+$M$94+IF($C$77="x",2)-IF($C$78="x",4)-IF($I$78="x",1)-IF($C$79="x",4)+IF($C$80="x",1)-IF($I$77="x",2)-IF($I$90="x",2)+IF($I$83="x",2)-IF($C$75="x",4)-$C$112+IF(H217="x",1)+I217+$M$77+IF(H219="x",1)+IF(J219="x",1)+IF($M$76="x",2)+J217+IF($M$85="x",1)+IF($M$113="x",1)+IF($M$120="x",2)+IF($M$119="x",2)+IF($M$105="x",1)+IF($M$110="x",1)+IF($M$111="x",2)+IF($M$112="x",4)+IF($M$108="x",1)-IF($M$109="x",1)-IF($M$99="x",1)+IF($M$90="x",1)-IF($C$97="x",2,4),
IF(AND($C$3&gt;5,$C$3&lt;11),SUM($C$3,$I$2)-$C$120+IF($C$75="x",2)+$I$16-$B$10+$M$94+IF($C$77="x",2)-IF($C$78="x",4)-IF($I$78="x",1)-IF($C$79="x",4)+IF($C$80="x",1)-IF($I$77="x",2)-IF($I$90="x",2)+IF($I$83="x",2)-IF($C$83="x",4)-$C$112+IF(H217="x",1)+I217+$M$77+IF(H219="x",1)+IF(J219="x",1)+IF($M$76="x",2)+J217+IF($M$85="x",1)+IF($M$113="x",1)+IF($M$120="x",2)+IF($M$119="x",2)+IF($M$105="x",1)+IF($M$110="x",1)+IF($M$111="x",2)+IF($M$112="x",4)+IF($M$108="x",1)-IF($M$109="x",1)-IF($M$99="x",1)+IF($M$90="x",1)-IF($C$97="x",2,4)
&amp;"/"&amp;SUM($C$3,$I$2)-$C$120+IF($C$75="x",2)+$I$16-$B$10+$M$94+IF($C$77="x",2)-IF($C$78="x",4)-IF($I$78="x",1)-IF($C$79="x",4)+IF($C$80="x",1)-IF($I$77="x",2)-IF($I$90="x",2)+IF($I$83="x",2)-IF($C$83="x",4)-$C$112-5+IF(H217="x",1)+I217+$M$77+IF(H219="x",1)+IF(J219="x",1)+IF($M$76="x",2)+J217+IF($M$85="x",1)+IF($M$113="x",1)+IF($M$120="x",2)+IF($M$119="x",2)+IF($M$105="x",1)+IF($M$110="x",1)+IF($M$111="x",2)+IF($M$112="x",4)+IF($M$108="x",1)-IF($M$109="x",1)-IF($M$99="x",1)+IF($M$90="x",1)-IF($C$97="x",2,4),
IF(AND($C$3&gt;10,$C$3&lt;16),SUM($C$3,$I$2)-$C$120+IF($C$75="x",2)+$I$16-$B$10+$M$94+IF($C$77="x",2)-IF($C$78="x",4)-IF($I$78="x",1)-IF($C$79="x",4)+IF($C$80="x",1)-IF($I$77="x",2)-IF($I$90="x",2)+IF($I$83="x",2)-IF($C$83="x",4)-$C$112+IF(H217="x",1)+I217+$M$77+IF(H219="x",1)+IF(J219="x",1)+IF($M$76="x",2)+J217+IF($M$85="x",1)+IF($M$113="x",1)+IF($M$120="x",2)+IF($M$119="x",2)+IF($M$105="x",1)+IF($M$110="x",1)+IF($M$111="x",2)+IF($M$112="x",4)+IF($M$108="x",1)-IF($M$109="x",1)+IF($M$99="x",20)-IF($M$99="x",1)+IF($M$90="x",1)-IF($C$97="x",2,4)
&amp;"/"&amp;SUM($C$3,$I$2)-$C$120+IF($C$75="x",2)+$I$16-$B$10+$M$94+IF($C$77="x",2)-IF($C$78="x",4)-IF($I$78="x",1)-IF($C$79="x",4)+IF($C$80="x",1)-IF($I$77="x",2)-IF($I$90="x",2)+IF($I$83="x",2)-IF($C$83="x",4)-$C$112-5+IF(H698="x",1)+IF(H217="x",1)+I217+$M$77+IF(H219="x",1)+IF(J219="x",1)+IF($M$76="x",2)+J217+IF($M$85="x",1)+IF($M$113="x",1)+IF($M$120="x",2)+IF($M$119="x",2)+IF($M$105="x",1)+IF($M$110="x",1)+IF($M$111="x",2)+IF($M$112="x",4)+IF($M$108="x",1)-IF($M$109="x",1)-IF($M$99="x",1)+IF($M$90="x",1)-IF($C$97="x",2,4)
&amp;"/"&amp;SUM($C$3,$I$2)-$C$120+IF($C$75="x",2)+$I$16-$B$10+$M$94+IF($C$77="x",2)-IF($C$78="x",4)-IF($I$78="x",1)-IF($C$79="x",4)+IF($C$80="x",1)-IF($I$77="x",2)-IF($I$90="x",2)+IF($I$83="x",2)-IF($C$83="x",4)-$C$112-10+IF(H698="x",1)+IF(H217="x",1)+I217+$M$77+IF(H219="x",1)+IF(J219="x",1)+IF($M$76="x",2)+J217+IF($M$85="x",1)+IF($M$113="x",1)+IF($M$120="x",2)+IF($M$119="x",2)+IF($M$105="x",1)+IF($M$110="x",1)+IF($M$111="x",2)+IF($M$112="x",4)+IF($M$108="x",1)-IF($M$109="x",1)-IF($M$99="x",1)+IF($M$90="x",1)-IF($C$97="x",2,4),
IF(AND($C$3&gt;15),SUM($C$3,$I$2)-$C$120+IF($C$75="x",2)+$I$16-$B$10+$M$94+IF($C$77="x",2)-IF($C$78="x",4)-IF($I$78="x",1)-IF($C$79="x",4)+IF($C$80="x",1)-IF($I$77="x",2)-IF($I$90="x",2)+IF($I$83="x",2)-IF($C$83="x",4)-$C$112+IF(H217="x",1)+I217+$M$77+IF(H219="x",1)+IF(J219="x",1)+IF($M$76="x",2)+J217+IF($M$85="x",1)+IF($M$113="x",1)+IF($M$120="x",2)+IF($M$119="x",2)+IF($M$105="x",1)+IF($M$110="x",1)+IF($M$111="x",2)+IF($M$112="x",4)+IF($M$108="x",1)-IF($M$109="x",1)-IF($M$99="x",1)+IF($M$90="x",1)-IF($C$97="x",2,4)
&amp;"/"&amp;SUM($C$3,$I$2)-$C$120+IF($C$75="x",2)+$I$16-$B$10+$M$94+IF($C$77="x",2)-IF($C$78="x",4)-IF($I$78="x",1)-IF($C$79="x",4)+IF($C$80="x",1)-IF($I$77="x",2)-IF($I$90="x",2)+IF($I$83="x",2)-IF($C$83="x",4)-$C$112-5+IF(H698="x",1)+IF(H217="x",1)+I217+$M$77+IF(H219="x",1)+IF(J219="x",1)+IF($M$76="x",2)+J217+IF($M$85="x",1)+IF($M$113="x",1)+IF($M$120="x",2)+IF($M$119="x",2)+IF($M$105="x",1)+IF($M$110="x",1)+IF($M$111="x",2)+IF($M$112="x",4)+IF($M$108="x",1)-IF($M$109="x",1)-IF($M$99="x",1)+IF($M$90="x",1)-IF($C$97="x",2,4)
&amp;"/"&amp;SUM($C$3,$I$2)-$C$120+IF($C$75="x",2)+$I$16-$B$10+$M$94+IF($C$77="x",2)-IF($C$78="x",4)-IF($I$78="x",1)-IF($C$79="x",4)+IF($C$80="x",1)-IF($I$77="x",2)-IF($I$90="x",2)+IF($I$83="x",2)-IF($C$83="x",4)-$C$112-10+IF(H698="x",1)+IF(H217="x",1)+I217+$M$77+IF(H219="x",1)+IF(J219="x",1)+IF($M$76="x",2)+J217+IF($M$85="x",1)+IF($M$113="x",1)+IF($M$120="x",2)+IF($M$119="x",2)+IF($M$105="x",1)+IF($M$110="x",1)+IF($M$111="x",2)+IF($M$112="x",4)+IF($M$108="x",1)-IF($M$109="x",1)-IF($M$99="x",1)+IF($M$90="x",1)-IF($C$97="x",2,4)
&amp;"/"&amp;SUM($C$3,$I$2)-$C$120+IF($C$75="x",2)+$I$16-$B$10+$M$94+IF($C$77="x",2)-IF($C$78="x",4)-IF($I$78="x",1)-IF($C$79="x",4)+IF($C$80="x",1)-IF($I$77="x",2)-IF($I$90="x",2)+IF($I$83="x",2)-IF($C$83="x",4)-$C$112-15+IF(H698="x",1)+IF(H217="x",1)+I217+$M$77+IF(H219="x",1)+IF(J219="x",1)+IF($M$76="x",2)+J217+IF($M$85="x",1)+IF($M$113="x",1)+IF($M$120="x",2)+IF($M$119="x",2)+IF($M$105="x",1)+IF($M$110="x",1)+IF($M$111="x",2)+IF($M$112="x",4)+IF($M$108="x",1)-IF($M$109="x",1)-IF($M$99="x",1)+IF($M$90="x",1)-IF($C$97="x",2,4))))))</f>
        <v>-4</v>
      </c>
      <c r="C219" s="49" t="str">
        <f>_xlfn.IFS($C$7="Minimaalinen","1",$C$7="Taskukokoinen","1n2",$C$7="Hyvin pieni","1n3",$C$7="Pieni","1n4",$C$7="Keskikokoinen","1n6",$C$7="Iso","1n8",$C$7="Valtava","2n6",$C$7="Suunnaton","3n6",$C$7="Giganttinen","4n6")</f>
        <v>1n6</v>
      </c>
      <c r="D219" s="121">
        <f>SUM($I$2+$C$120)+I217+$M$77+IF(I219="x",2)+IF(K219="x",2)+IF($M$119="x",2)+IF($M$108="x",1)+$M$94-IF($M$109="x",1)+K217</f>
        <v>0</v>
      </c>
      <c r="E219" s="49" t="str">
        <f>_xlfn.IFS($C$7="Minimaalinen","2",$C$7="Taskukokoinen","2n2",$C$7="Hyvin pieni","2n3",$C$7="Pieni","2n4",$C$7="Keskikokoinen","2n6",$C$7="Iso","2n8",$C$7="Valtava","4n6",$C$7="Suunnaton","6n6",$C$7="Giganttinen","8n6")</f>
        <v>2n6</v>
      </c>
      <c r="F219" s="12">
        <f>SUM(D219*2)</f>
        <v>0</v>
      </c>
      <c r="G219" s="82" t="str">
        <f>(IF($I$89="x","50 %","")&amp;(IF($C$81="x","20 %",""))&amp;(IF($C$82="x","50 %","")))</f>
        <v/>
      </c>
      <c r="H219" s="28"/>
      <c r="I219" s="28"/>
      <c r="J219" s="28"/>
      <c r="K219" s="28"/>
    </row>
    <row r="220" spans="1:38" x14ac:dyDescent="0.2">
      <c r="A220" s="133" t="s">
        <v>437</v>
      </c>
      <c r="B220" s="82">
        <f>IF($I$85="x","PAINISSA",IF($C$3&lt;=5,SUM($C$3,$I$2)-$C$120+IF($C$75="x",2)+$I$16-$B$10+$M$94+IF($C$77="x",2)-IF($C$78="x",4)-IF($I$78="x",1)-IF($C$79="x",4)+IF($C$80="x",1)-IF($I$77="x",2)-IF($I$90="x",2)+IF($I$83="x",2)-IF($C$75="x",4)-$C$112+IF(H217="x",1)+I217+$M$77+IF(H219="x",1)+IF(J219="x",1)+IF($M$76="x",2)+J217+IF($M$85="x",1)+IF($M$113="x",1)+IF($M$120="x",2)+IF($M$119="x",2)+IF($M$105="x",1)+IF($M$110="x",1)+IF($M$111="x",2)+IF($M$112="x",4)+IF($M$108="x",1)-IF($M$109="x",1)-IF($M$99="x",1)+IF($M$90="x",1)-IF($C$97="x",4,6),
IF(AND($C$3&gt;5,$C$3&lt;11),SUM($C$3,$I$2)-$C$120+IF($C$75="x",2)+$I$16-$B$10+$M$94+IF($C$77="x",2)-IF($C$78="x",4)-IF($I$78="x",1)-IF($C$79="x",4)+IF($C$80="x",1)-IF($I$77="x",2)-IF($I$90="x",2)+IF($I$83="x",2)-IF($C$83="x",4)-$C$112+IF(H217="x",1)+I217+$M$77+IF(H219="x",1)+IF(J219="x",1)+IF($M$76="x",2)+J217+IF($M$85="x",1)+IF($M$113="x",1)+IF($M$120="x",2)+IF($M$119="x",2)+IF($M$105="x",1)+IF($M$110="x",1)+IF($M$111="x",2)+IF($M$112="x",4)+IF($M$108="x",1)-IF($M$109="x",1)-IF($M$99="x",1)+IF($M$90="x",1)-IF($C$97="x",4,6)
&amp;"/"&amp;SUM($C$3,$I$2)-$C$120+IF($C$75="x",2)+$I$16-$B$10+$M$94+IF($C$77="x",2)-IF($C$78="x",4)-IF($I$78="x",1)-IF($C$79="x",4)+IF($C$80="x",1)-IF($I$77="x",2)-IF($I$90="x",2)+IF($I$83="x",2)-IF($C$83="x",4)-$C$112-5+IF(H217="x",1)+I217+$M$77+IF(H219="x",1)+IF(J219="x",1)+IF($M$76="x",2)+J217+IF($M$85="x",1)+IF($M$113="x",1)+IF($M$120="x",2)+IF($M$119="x",2)+IF($M$105="x",1)+IF($M$110="x",1)+IF($M$111="x",2)+IF($M$112="x",4)+IF($M$108="x",1)-IF($M$109="x",1)-IF($M$99="x",1)+IF($M$90="x",1)-IF($C$97="x",4,6),
IF(AND($C$3&gt;10,$C$3&lt;16),SUM($C$3,$I$2)-$C$120+IF($C$75="x",2)+$I$16-$B$10+$M$94+IF($C$77="x",2)-IF($C$78="x",4)-IF($I$78="x",1)-IF($C$79="x",4)+IF($C$80="x",1)-IF($I$77="x",2)-IF($I$90="x",2)+IF($I$83="x",2)-IF($C$83="x",4)-$C$112+IF(H217="x",1)+I217+$M$77+IF(H219="x",1)+IF(J219="x",1)+IF($M$76="x",2)+J217+IF($M$85="x",1)+IF($M$113="x",1)+IF($M$120="x",2)+IF($M$119="x",2)+IF($M$105="x",1)+IF($M$110="x",1)+IF($M$111="x",2)+IF($M$112="x",4)+IF($M$108="x",1)-IF($M$109="x",1)+IF($M$99="x",20)-IF($M$99="x",1)+IF($M$90="x",1)-IF($C$97="x",4,6)
&amp;"/"&amp;SUM($C$3,$I$2)-$C$120+IF($C$75="x",2)+$I$16-$B$10+$M$94+IF($C$77="x",2)-IF($C$78="x",4)-IF($I$78="x",1)-IF($C$79="x",4)+IF($C$80="x",1)-IF($I$77="x",2)-IF($I$90="x",2)+IF($I$83="x",2)-IF($C$83="x",4)-$C$112-5+IF(H698="x",1)+IF(H217="x",1)+I217+$M$77+IF(H219="x",1)+IF(J219="x",1)+IF($M$76="x",2)+J217+IF($M$85="x",1)+IF($M$113="x",1)+IF($M$120="x",2)+IF($M$119="x",2)+IF($M$105="x",1)+IF($M$110="x",1)+IF($M$111="x",2)+IF($M$112="x",4)+IF($M$108="x",1)-IF($M$109="x",1)-IF($M$99="x",1)+IF($M$90="x",1)-IF($C$97="x",4,6)
&amp;"/"&amp;SUM($C$3,$I$2)-$C$120+IF($C$75="x",2)+$I$16-$B$10+$M$94+IF($C$77="x",2)-IF($C$78="x",4)-IF($I$78="x",1)-IF($C$79="x",4)+IF($C$80="x",1)-IF($I$77="x",2)-IF($I$90="x",2)+IF($I$83="x",2)-IF($C$83="x",4)-$C$112-10+IF(H698="x",1)+IF(H217="x",1)+I217+$M$77+IF(H219="x",1)+IF(J219="x",1)+IF($M$76="x",2)+J217+IF($M$85="x",1)+IF($M$113="x",1)+IF($M$120="x",2)+IF($M$119="x",2)+IF($M$105="x",1)+IF($M$110="x",1)+IF($M$111="x",2)+IF($M$112="x",4)+IF($M$108="x",1)-IF($M$109="x",1)-IF($M$99="x",1)+IF($M$90="x",1)-IF($C$97="x",4,6),
IF(AND($C$3&gt;15),SUM($C$3,$I$2)-$C$120+IF($C$75="x",2)+$I$16-$B$10+$M$94+IF($C$77="x",2)-IF($C$78="x",4)-IF($I$78="x",1)-IF($C$79="x",4)+IF($C$80="x",1)-IF($I$77="x",2)-IF($I$90="x",2)+IF($I$83="x",2)-IF($C$83="x",4)-$C$112+IF(H217="x",1)+I217+$M$77+IF(H219="x",1)+IF(J219="x",1)+IF($M$76="x",2)+J217+IF($M$85="x",1)+IF($M$113="x",1)+IF($M$120="x",2)+IF($M$119="x",2)+IF($M$105="x",1)+IF($M$110="x",1)+IF($M$111="x",2)+IF($M$112="x",4)+IF($M$108="x",1)-IF($M$109="x",1)-IF($M$99="x",1)+IF($M$90="x",1)-IF($C$97="x",4,6)
&amp;"/"&amp;SUM($C$3,$I$2)-$C$120+IF($C$75="x",2)+$I$16-$B$10+$M$94+IF($C$77="x",2)-IF($C$78="x",4)-IF($I$78="x",1)-IF($C$79="x",4)+IF($C$80="x",1)-IF($I$77="x",2)-IF($I$90="x",2)+IF($I$83="x",2)-IF($C$83="x",4)-$C$112-5+IF(H698="x",1)+IF(H217="x",1)+I217+$M$77+IF(H219="x",1)+IF(J219="x",1)+IF($M$76="x",2)+J217+IF($M$85="x",1)+IF($M$113="x",1)+IF($M$120="x",2)+IF($M$119="x",2)+IF($M$105="x",1)+IF($M$110="x",1)+IF($M$111="x",2)+IF($M$112="x",4)+IF($M$108="x",1)-IF($M$109="x",1)-IF($M$99="x",1)+IF($M$90="x",1)-IF($C$97="x",4,6)
&amp;"/"&amp;SUM($C$3,$I$2)-$C$120+IF($C$75="x",2)+$I$16-$B$10+$M$94+IF($C$77="x",2)-IF($C$78="x",4)-IF($I$78="x",1)-IF($C$79="x",4)+IF($C$80="x",1)-IF($I$77="x",2)-IF($I$90="x",2)+IF($I$83="x",2)-IF($C$83="x",4)-$C$112-10+IF(H698="x",1)+IF(H217="x",1)+I217+$M$77+IF(H219="x",1)+IF(J219="x",1)+IF($M$76="x",2)+J217+IF($M$85="x",1)+IF($M$113="x",1)+IF($M$120="x",2)+IF($M$119="x",2)+IF($M$105="x",1)+IF($M$110="x",1)+IF($M$111="x",2)+IF($M$112="x",4)+IF($M$108="x",1)-IF($M$109="x",1)-IF($M$99="x",1)+IF($M$90="x",1)-IF($C$97="x",4,6)
&amp;"/"&amp;SUM($C$3,$I$2)-$C$120+IF($C$75="x",2)+$I$16-$B$10+$M$94+IF($C$77="x",2)-IF($C$78="x",4)-IF($I$78="x",1)-IF($C$79="x",4)+IF($C$80="x",1)-IF($I$77="x",2)-IF($I$90="x",2)+IF($I$83="x",2)-IF($C$83="x",4)-$C$112-15+IF(H698="x",1)+IF(H217="x",1)+I217+$M$77+IF(H219="x",1)+IF(J219="x",1)+IF($M$76="x",2)+J217+IF($M$85="x",1)+IF($M$113="x",1)+IF($M$120="x",2)+IF($M$119="x",2)+IF($M$105="x",1)+IF($M$110="x",1)+IF($M$111="x",2)+IF($M$112="x",4)+IF($M$108="x",1)-IF($M$109="x",1)-IF($M$99="x",1)+IF($M$90="x",1)-IF($C$97="x",4,6))))))</f>
        <v>-6</v>
      </c>
      <c r="C220" s="49" t="str">
        <f>_xlfn.IFS($C$7="Minimaalinen","1",$C$7="Taskukokoinen","1n2",$C$7="Hyvin pieni","1n3",$C$7="Pieni","1n4",$C$7="Keskikokoinen","1n6",$C$7="Iso","1n8",$C$7="Valtava","2n6",$C$7="Suunnaton","3n6",$C$7="Giganttinen","4n6")</f>
        <v>1n6</v>
      </c>
      <c r="D220" s="121">
        <f>SUM($I$2+$C$120)+I217+$M$77+IF(I219="x",2)+IF(K219="x",2)+IF($M$119="x",2)+IF($M$108="x",1)+$M$94-IF($M$109="x",1)+K217</f>
        <v>0</v>
      </c>
      <c r="E220" s="49" t="str">
        <f>_xlfn.IFS($C$7="Minimaalinen","2",$C$7="Taskukokoinen","2n2",$C$7="Hyvin pieni","2n3",$C$7="Pieni","2n4",$C$7="Keskikokoinen","2n6",$C$7="Iso","2n8",$C$7="Valtava","4n6",$C$7="Suunnaton","6n6",$C$7="Giganttinen","8n6")</f>
        <v>2n6</v>
      </c>
      <c r="F220" s="12">
        <f>SUM(D220*2)</f>
        <v>0</v>
      </c>
      <c r="G220" s="82" t="str">
        <f>(IF($I$89="x","50 %","")&amp;(IF($C$81="x","20 %",""))&amp;(IF($C$82="x","50 %","")))</f>
        <v/>
      </c>
      <c r="H220" s="11"/>
      <c r="I220" s="15"/>
      <c r="AB220" s="115"/>
      <c r="AC220" s="116"/>
      <c r="AD220" s="116"/>
      <c r="AE220" s="116"/>
      <c r="AF220" s="116"/>
      <c r="AG220" s="116"/>
      <c r="AH220" s="116"/>
      <c r="AI220" s="48"/>
      <c r="AJ220" s="48"/>
      <c r="AK220" s="48"/>
      <c r="AL220" s="48"/>
    </row>
    <row r="221" spans="1:38" x14ac:dyDescent="0.2">
      <c r="A221" s="122" t="s">
        <v>436</v>
      </c>
      <c r="B221" s="123">
        <f>IF($I$85="x","PAINISSA",IF(AND($C$90="",$C$118=""),SUM($C$3,$I$2)-$C$120+IF($C$75="x",2)+$I$16-$B$10+$M$94+IF($C$77="x",2)-IF($C$78="x",4)-IF($I$78="x",1)-IF($C$79="x",4)+IF($C$80="x",1)-IF($I$77="x",2)-IF($I$90="x",2)+IF($I$83="x",2)-IF($C$75="x",4)-$C$112+IF(H217="x",1)+I217+$M$77+IF(H219="x",1)+IF(J219="x",1)+IF($M$76="x",2)+J217+IF($M$85="x",1)+IF($M$113="x",1)+IF($M$120="x",2)+IF($M$119="x",2)+IF($M$105="x",1)+IF($M$110="x",1)+IF($M$111="x",2)+IF($M$112="x",4)+IF($M$108="x",1)-IF($M$109="x",1)-IF($M$99="x",1)+IF($M$90="x",1)-IF($C$97="x",4,10),
IF(AND($C$90="x",$C$118=""),SUM($C$3,$I$2)-$C$120+IF($C$75="x",2)+$I$16-$B$10+$M$94+IF($C$77="x",2)-IF($C$78="x",4)-IF($I$78="x",1)-IF($C$79="x",4)+IF($C$80="x",1)-IF($I$77="x",2)-IF($I$90="x",2)+IF($I$83="x",2)-IF($C$83="x",4)-$C$112+IF(H217="x",1)+I217+$M$77+IF(H219="x",1)+IF(J219="x",1)+IF($M$76="x",2)+J217+IF($M$85="x",1)+IF($M$113="x",1)+IF($M$120="x",2)+IF($M$119="x",2)+IF($M$105="x",1)+IF($M$110="x",1)+IF($M$111="x",2)+IF($M$112="x",4)+IF($M$108="x",1)-IF($M$109="x",1)-IF($M$99="x",1)+IF($M$90="x",1)-IF($C$97="x",4,10)
&amp;"/"&amp;SUM($C$3,$I$2)-$C$120+IF($C$75="x",2)+$I$16-$B$10+$M$94+IF($C$77="x",2)-IF($C$78="x",4)-IF($I$78="x",1)-IF($C$79="x",4)+IF($C$80="x",1)-IF($I$77="x",2)-IF($I$90="x",2)+IF($I$83="x",2)-IF($C$83="x",4)-$C$112+IF(H217="x",1)+I217+$M$77+IF(H219="x",1)+IF(J219="x",1)+IF($M$76="x",2)+J217+IF($M$85="x",1)+IF($M$113="x",1)+IF($M$120="x",2)+IF($M$119="x",2)+IF($M$105="x",1)+IF($M$110="x",1)+IF($M$111="x",2)+IF($M$112="x",4)+IF($M$108="x",1)-IF($M$109="x",1)-IF($M$99="x",1)+IF($M$90="x",1)-IF($C$97="x",4,10)-5,
IF(AND($C$90="x",$C$118="x"),SUM($C$3,$I$2)-$C$120+IF($C$75="x",2)+$I$16-$B$10+$M$94+IF($C$77="x",2)-IF($C$78="x",4)-IF($I$78="x",1)-IF($C$79="x",4)+IF($C$80="x",1)-IF($I$77="x",2)-IF($I$90="x",2)+IF($I$83="x",2)-IF($C$83="x",4)-$C$112+IF(H217="x",1)+I217+$M$77+IF(H219="x",1)+IF(J219="x",1)+IF($M$76="x",2)+J217+IF($M$85="x",1)+IF($M$113="x",1)+IF($M$120="x",2)+IF($M$119="x",2)+IF($M$105="x",1)+IF($M$110="x",1)+IF($M$111="x",2)+IF($M$112="x",4)+IF($M$108="x",1)-IF($M$109="x",1)+IF($M$99="x",20)-IF($M$99="x",1)+IF($M$90="x",1)-IF($C$97="x",4,10)
&amp;"/"&amp;SUM($C$3,$I$2)-$C$120+IF($C$75="x",2)+$I$16-$B$10+$M$94+IF($C$77="x",2)-IF($C$78="x",4)-IF($I$78="x",1)-IF($C$79="x",4)+IF($C$80="x",1)-IF($I$77="x",2)-IF($I$90="x",2)+IF($I$83="x",2)-IF($C$83="x",4)-$C$112-5+IF(H217="x",1)+I217+$M$77+IF(H219="x",1)+IF(J219="x",1)+IF($M$76="x",2)+J217+IF($M$85="x",1)+IF($M$113="x",1)+IF($M$120="x",2)+IF($M$119="x",2)+IF($M$105="x",1)+IF($M$110="x",1)+IF($M$111="x",2)+IF($M$112="x",4)+IF($M$108="x",1)-IF($M$109="x",1)-IF($M$99="x",1)+IF($M$90="x",1)-IF($C$97="x",4,10)
&amp;"/"&amp;SUM($C$3,$I$2)-$C$120+IF($C$75="x",2)+$I$16-$B$10+$M$94+IF($C$77="x",2)-IF($C$78="x",4)-IF($I$78="x",1)-IF($C$79="x",4)+IF($C$80="x",1)-IF($I$77="x",2)-IF($I$90="x",2)+IF($I$83="x",2)-IF($C$83="x",4)-$C$112-10+IF(H217="x",1)+I217+$M$77+IF(H219="x",1)+IF(J219="x",1)+IF($M$76="x",2)+J217+IF($M$85="x",1)+IF($M$113="x",1)+IF($M$120="x",2)+IF($M$119="x",2)+IF($M$105="x",1)+IF($M$110="x",1)+IF($M$111="x",2)+IF($M$112="x",4)+IF($M$108="x",1)-IF($M$109="x",1)-IF($M$99="x",1)+IF($M$90="x",1)-IF($C$97="x",4,10)))))</f>
        <v>-10</v>
      </c>
      <c r="C221" s="54" t="str">
        <f>_xlfn.IFS($C$7="Minimaalinen","1",$C$7="Taskukokoinen","1n2",$C$7="Hyvin pieni","1n3",$C$7="Pieni","1n4",$C$7="Keskikokoinen","1n6",$C$7="Iso","1n8",$C$7="Valtava","2n6",$C$7="Suunnaton","3n6",$C$7="Giganttinen","4n6")</f>
        <v>1n6</v>
      </c>
      <c r="D221" s="123">
        <f>INT($I$2/2)+($C$120)+I217+$M$77+IF(I219="x",2)+IF(K219="x",2)+IF($M$119="x",2)+IF($M$108="x",1)+$M$94+K217-IF($M$109="x",1)</f>
        <v>0</v>
      </c>
      <c r="E221" s="54" t="str">
        <f>_xlfn.IFS($C$7="Minimaalinen","2",$C$7="Taskukokoinen","2n2",$C$7="Hyvin pieni","2n3",$C$7="Pieni","2n4",$C$7="Keskikokoinen","2n6",$C$7="Iso","2n8",$C$7="Valtava","4n6",$C$7="Suunnaton","6n6",$C$7="Giganttinen","8n6")</f>
        <v>2n6</v>
      </c>
      <c r="F221" s="124">
        <f>SUM(D221*2)</f>
        <v>0</v>
      </c>
      <c r="G221" s="124" t="str">
        <f>(IF($I$89="x","50 %","")&amp;(IF($C$81="x","20 %",""))&amp;(IF($C$82="x","50 %","")))</f>
        <v/>
      </c>
      <c r="H221" s="40"/>
      <c r="K221" s="82"/>
      <c r="AB221" s="57"/>
      <c r="AC221" s="40"/>
      <c r="AD221" s="49"/>
      <c r="AE221" s="117"/>
      <c r="AF221" s="49"/>
      <c r="AG221" s="40"/>
      <c r="AH221" s="40"/>
      <c r="AI221" s="40"/>
      <c r="AJ221" s="40"/>
      <c r="AK221" s="40"/>
      <c r="AL221" s="40"/>
    </row>
    <row r="222" spans="1:38" x14ac:dyDescent="0.2">
      <c r="B222" s="15"/>
      <c r="C222" s="15"/>
      <c r="D222" s="15"/>
      <c r="F222" s="15"/>
      <c r="G222" s="15"/>
      <c r="H222" s="15"/>
      <c r="I222" s="15"/>
      <c r="AB222" s="47"/>
      <c r="AC222" s="113"/>
      <c r="AD222" s="114"/>
      <c r="AE222" s="113"/>
      <c r="AF222" s="114"/>
      <c r="AG222" s="114"/>
      <c r="AH222" s="114"/>
      <c r="AI222" s="48"/>
      <c r="AJ222" s="48"/>
      <c r="AK222" s="48"/>
      <c r="AL222" s="48"/>
    </row>
    <row r="223" spans="1:38" x14ac:dyDescent="0.2">
      <c r="B223" s="15"/>
      <c r="C223" s="15"/>
      <c r="D223" s="15"/>
      <c r="F223" s="15"/>
      <c r="G223" s="15"/>
      <c r="H223" s="15"/>
      <c r="I223" s="15"/>
      <c r="AB223" s="56"/>
      <c r="AC223" s="51"/>
      <c r="AD223" s="49"/>
      <c r="AE223" s="51"/>
      <c r="AF223" s="49"/>
      <c r="AG223" s="40"/>
      <c r="AH223" s="49"/>
      <c r="AI223" s="40"/>
      <c r="AJ223" s="40"/>
      <c r="AK223" s="40"/>
      <c r="AL223" s="40"/>
    </row>
    <row r="224" spans="1:38" x14ac:dyDescent="0.2">
      <c r="A224" s="10" t="s">
        <v>280</v>
      </c>
      <c r="B224" s="11" t="s">
        <v>1</v>
      </c>
      <c r="C224" s="11" t="s">
        <v>2</v>
      </c>
      <c r="D224" s="11" t="s">
        <v>3</v>
      </c>
      <c r="E224" s="11" t="s">
        <v>229</v>
      </c>
      <c r="F224" s="11" t="s">
        <v>3</v>
      </c>
      <c r="G224" s="11" t="s">
        <v>45</v>
      </c>
      <c r="H224" s="14" t="s">
        <v>179</v>
      </c>
      <c r="I224" s="11" t="s">
        <v>242</v>
      </c>
      <c r="J224" s="11" t="s">
        <v>224</v>
      </c>
      <c r="K224" s="11" t="s">
        <v>225</v>
      </c>
      <c r="AB224" s="56"/>
      <c r="AC224" s="49"/>
      <c r="AD224" s="49"/>
      <c r="AE224" s="51"/>
      <c r="AF224" s="49"/>
      <c r="AG224" s="40"/>
      <c r="AH224" s="49"/>
      <c r="AI224" s="48"/>
      <c r="AJ224" s="57"/>
      <c r="AK224" s="57"/>
      <c r="AL224" s="57"/>
    </row>
    <row r="225" spans="1:38" x14ac:dyDescent="0.2">
      <c r="A225" s="15" t="s">
        <v>219</v>
      </c>
      <c r="B225" s="12">
        <f>IF($I$85="x","PAINISSA",IF($C$3&lt;=5,SUM($C$3,$I$2)-$C$120+IF($C$75="x",2)+$I$16-$B$10+$M$94+IF($C$77="x",2)-IF($C$78="x",4)-IF($I$78="x",1)-IF($C$79="x",4)+IF($C$80="x",1)-IF($I$77="x",2)-IF($I$90="x",2)+IF($I$83="x",2)-IF($C$75="x",4)-$C$112+IF(H225="x",1)+I225+$M$77+IF(H227="x",1)+IF(J227="x",1)+IF($M$76="x",2)+J225+IF($M$85="x",1)+IF($M$113="x",1)+IF($M$120="x",2)+IF($M$119="x",2)+IF($M$105="x",1)+IF($M$110="x",1)+IF($M$111="x",2)+IF($M$112="x",4)+IF($M$108="x",1)-IF($M$109="x",1)-IF($M$99="x",1)+IF($M$90="x",1),
IF(AND($C$3&gt;5,$C$3&lt;11),SUM($C$3,$I$2)-$C$120+IF($C$75="x",2)+$I$16-$B$10+$M$94+IF($C$77="x",2)-IF($C$78="x",4)-IF($I$78="x",1)-IF($C$79="x",4)+IF($C$80="x",1)-IF($I$77="x",2)-IF($I$90="x",2)+IF($I$83="x",2)-IF($C$83="x",4)-$C$112+IF(H225="x",1)+I225+$M$77+IF(H227="x",1)+IF(J227="x",1)+IF($M$76="x",2)+J225+IF($M$85="x",1)+IF($M$113="x",1)+IF($M$120="x",2)+IF($M$119="x",2)+IF($M$105="x",1)+IF($M$110="x",1)+IF($M$111="x",2)+IF($M$112="x",4)+IF($M$108="x",1)-IF($M$109="x",1)-IF($M$99="x",1)+IF($M$90="x",1)
&amp;"/"&amp;SUM($C$3,$I$2)-$C$120+IF($C$75="x",2)+$I$16-$B$10+$M$94+IF($C$77="x",2)-IF($C$78="x",4)-IF($I$78="x",1)-IF($C$79="x",4)+IF($C$80="x",1)-IF($I$77="x",2)-IF($I$90="x",2)+IF($I$83="x",2)-IF($C$83="x",4)-$C$112-5+IF(H225="x",1)+I225+$M$77+IF(H227="x",1)+IF(J227="x",1)+IF($M$76="x",2)+J225+IF($M$85="x",1)+IF($M$113="x",1)+IF($M$120="x",2)+IF($M$119="x",2)+IF($M$105="x",1)+IF($M$110="x",1)+IF($M$111="x",2)+IF($M$112="x",4)+IF($M$108="x",1)-IF($M$109="x",1)-IF($M$99="x",1)+IF($M$90="x",1),
IF(AND($C$3&gt;10,$C$3&lt;16),SUM($C$3,$I$2)-$C$120+IF($C$75="x",2)+$I$16-$B$10+$M$94+IF($C$77="x",2)-IF($C$78="x",4)-IF($I$78="x",1)-IF($C$79="x",4)+IF($C$80="x",1)-IF($I$77="x",2)-IF($I$90="x",2)+IF($I$83="x",2)-IF($C$83="x",4)-$C$112+IF(H225="x",1)+I225+$M$77+IF(H227="x",1)+IF(J227="x",1)+IF($M$76="x",2)+J225+IF($M$85="x",1)+IF($M$113="x",1)+IF($M$120="x",2)+IF($M$119="x",2)+IF($M$105="x",1)+IF($M$110="x",1)+IF($M$111="x",2)+IF($M$112="x",4)+IF($M$108="x",1)-IF($M$109="x",1)+IF($M$99="x",20)-IF($M$99="x",1)+IF($M$90="x",1)
&amp;"/"&amp;SUM($C$3,$I$2)-$C$120+IF($C$75="x",2)+$I$16-$B$10+$M$94+IF($C$77="x",2)-IF($C$78="x",4)-IF($I$78="x",1)-IF($C$79="x",4)+IF($C$80="x",1)-IF($I$77="x",2)-IF($I$90="x",2)+IF($I$83="x",2)-IF($C$83="x",4)-$C$112-5+IF(H581="x",1)+IF(H225="x",1)+I225+$M$77+IF(H227="x",1)+IF(J227="x",1)+IF($M$76="x",2)+J225+IF($M$85="x",1)+IF($M$113="x",1)+IF($M$120="x",2)+IF($M$119="x",2)+IF($M$105="x",1)+IF($M$110="x",1)+IF($M$111="x",2)+IF($M$112="x",4)+IF($M$108="x",1)-IF($M$109="x",1)-IF($M$99="x",1)+IF($M$90="x",1)
&amp;"/"&amp;SUM($C$3,$I$2)-$C$120+IF($C$75="x",2)+$I$16-$B$10+$M$94+IF($C$77="x",2)-IF($C$78="x",4)-IF($I$78="x",1)-IF($C$79="x",4)+IF($C$80="x",1)-IF($I$77="x",2)-IF($I$90="x",2)+IF($I$83="x",2)-IF($C$83="x",4)-$C$112-10+IF(H581="x",1)+IF(H225="x",1)+I225+$M$77+IF(H227="x",1)+IF(J227="x",1)+IF($M$76="x",2)+J225+IF($M$85="x",1)+IF($M$113="x",1)+IF($M$120="x",2)+IF($M$119="x",2)+IF($M$105="x",1)+IF($M$110="x",1)+IF($M$111="x",2)+IF($M$112="x",4)+IF($M$108="x",1)-IF($M$109="x",1)-IF($M$99="x",1)+IF($M$90="x",1),
IF(AND($C$3&gt;15),SUM($C$3,$I$2)-$C$120+IF($C$75="x",2)+$I$16-$B$10+$M$94+IF($C$77="x",2)-IF($C$78="x",4)-IF($I$78="x",1)-IF($C$79="x",4)+IF($C$80="x",1)-IF($I$77="x",2)-IF($I$90="x",2)+IF($I$83="x",2)-IF($C$83="x",4)-$C$112+IF(H225="x",1)+I225+$M$77+IF(H227="x",1)+IF(J227="x",1)+IF($M$76="x",2)+J225+IF($M$85="x",1)+IF($M$113="x",1)+IF($M$120="x",2)+IF($M$119="x",2)+IF($M$105="x",1)+IF($M$110="x",1)+IF($M$111="x",2)+IF($M$112="x",4)+IF($M$108="x",1)-IF($M$109="x",1)-IF($M$99="x",1)+IF($M$90="x",1)
&amp;"/"&amp;SUM($C$3,$I$2)-$C$120+IF($C$75="x",2)+$I$16-$B$10+$M$94+IF($C$77="x",2)-IF($C$78="x",4)-IF($I$78="x",1)-IF($C$79="x",4)+IF($C$80="x",1)-IF($I$77="x",2)-IF($I$90="x",2)+IF($I$83="x",2)-IF($C$83="x",4)-$C$112-5+IF(H581="x",1)+IF(H225="x",1)+I225+$M$77+IF(H227="x",1)+IF(J227="x",1)+IF($M$76="x",2)+J225+IF($M$85="x",1)+IF($M$113="x",1)+IF($M$120="x",2)+IF($M$119="x",2)+IF($M$105="x",1)+IF($M$110="x",1)+IF($M$111="x",2)+IF($M$112="x",4)+IF($M$108="x",1)-IF($M$109="x",1)-IF($M$99="x",1)+IF($M$90="x",1)
&amp;"/"&amp;SUM($C$3,$I$2)-$C$120+IF($C$75="x",2)+$I$16-$B$10+$M$94+IF($C$77="x",2)-IF($C$78="x",4)-IF($I$78="x",1)-IF($C$79="x",4)+IF($C$80="x",1)-IF($I$77="x",2)-IF($I$90="x",2)+IF($I$83="x",2)-IF($C$83="x",4)-$C$112-10+IF(H581="x",1)+IF(H225="x",1)+I225+$M$77+IF(H227="x",1)+IF(J227="x",1)+IF($M$76="x",2)+J225+IF($M$85="x",1)+IF($M$113="x",1)+IF($M$120="x",2)+IF($M$119="x",2)+IF($M$105="x",1)+IF($M$110="x",1)+IF($M$111="x",2)+IF($M$112="x",4)+IF($M$108="x",1)-IF($M$109="x",1)-IF($M$99="x",1)+IF($M$90="x",1)
&amp;"/"&amp;SUM($C$3,$I$2)-$C$120+IF($C$75="x",2)+$I$16-$B$10+$M$94+IF($C$77="x",2)-IF($C$78="x",4)-IF($I$78="x",1)-IF($C$79="x",4)+IF($C$80="x",1)-IF($I$77="x",2)-IF($I$90="x",2)+IF($I$83="x",2)-IF($C$83="x",4)-$C$112-15+IF(H581="x",1)+IF(H225="x",1)+I225+$M$77+IF(H227="x",1)+IF(J227="x",1)+IF($M$76="x",2)+J225+IF($M$85="x",1)+IF($M$113="x",1)+IF($M$120="x",2)+IF($M$119="x",2)+IF($M$105="x",1)+IF($M$110="x",1)+IF($M$111="x",2)+IF($M$112="x",4)+IF($M$108="x",1)-IF($M$109="x",1)-IF($M$99="x",1)+IF($M$90="x",1))))))</f>
        <v>0</v>
      </c>
      <c r="C225" s="49" t="str">
        <f>_xlfn.IFS($C$7="Minimaalinen","–",$C$7="Taskukokoinen","1",$C$7="Hyvin pieni","1n2",$C$7="Pieni","1n3",$C$7="Keskikokoinen","1n4",$C$7="Iso","1n6",$C$7="Valtava","1n8",$C$7="Suunnaton","2n6",$C$7="Giganttinen","3n6")</f>
        <v>1n4</v>
      </c>
      <c r="D225" s="18">
        <f>SUM($I$2+$C$120)+I225+$M$77+IF(I227="x",2)+IF(K227="x",2)+IF($M$119="x",2)+IF($M$108="x",1)+$M$94-IF($M$109="x",1)+K225</f>
        <v>0</v>
      </c>
      <c r="E225" s="49" t="str">
        <f>_xlfn.IFS($C$7="Minimaalinen","–",$C$7="Taskukokoinen","2",$C$7="Hyvin pieni","2n2",$C$7="Pieni","2n3",$C$7="Keskikokoinen","2n4",$C$7="Iso","2n6",$C$7="Valtava","2n8",$C$7="Suunnaton","4n6",$C$7="Giganttinen","6n6")</f>
        <v>2n4</v>
      </c>
      <c r="F225" s="12">
        <f>SUM(D225*2)</f>
        <v>0</v>
      </c>
      <c r="G225" s="12" t="str">
        <f>(IF($I$89="x","50 %","")&amp;(IF($C$81="x","20 %",""))&amp;(IF($C$82="x","50 %","")))</f>
        <v/>
      </c>
      <c r="H225" s="28"/>
      <c r="I225" s="17">
        <v>0</v>
      </c>
      <c r="J225" s="17">
        <v>0</v>
      </c>
      <c r="K225" s="17">
        <v>0</v>
      </c>
      <c r="AB225" s="52"/>
      <c r="AC225" s="53"/>
      <c r="AD225" s="54"/>
      <c r="AE225" s="53"/>
      <c r="AF225" s="54"/>
      <c r="AG225" s="54"/>
      <c r="AH225" s="54"/>
      <c r="AI225" s="40"/>
      <c r="AJ225" s="60"/>
      <c r="AK225" s="57"/>
      <c r="AL225" s="61"/>
    </row>
    <row r="226" spans="1:38" x14ac:dyDescent="0.2">
      <c r="A226" s="58" t="s">
        <v>8</v>
      </c>
      <c r="B226" s="119">
        <f>IF($I$85="x","PAINISSA",IF($C$3&lt;=5,SUM($C$3,$I$2)-$C$120+IF($C$75="x",2)+$I$16-$B$10+$M$94+IF($C$77="x",2)-IF($C$78="x",4)-IF($I$78="x",1)-IF($C$79="x",4)+IF($C$80="x",1)-IF($I$77="x",2)-IF($I$90="x",2)+IF($I$83="x",2)-IF($C$75="x",4)-$C$112+IF(H225="x",1)+I225+$M$77+IF(H227="x",1)+IF(J227="x",1)+IF($M$76="x",2)+J225+IF($M$85="x",1)+IF($M$113="x",1)+IF($M$120="x",2)+IF($M$119="x",2)+IF($M$105="x",1)+IF($M$110="x",1)+IF($M$111="x",2)+IF($M$112="x",4)+IF($M$108="x",1)-IF($M$109="x",1)-IF($M$99="x",1)+IF($M$90="x",1),
IF(AND($C$3&gt;5,$C$3&lt;11),SUM($C$3,$I$2)-$C$120+IF($C$75="x",2)+$I$16-$B$10+$M$94+IF($C$77="x",2)-IF($C$78="x",4)-IF($I$78="x",1)-IF($C$79="x",4)+IF($C$80="x",1)-IF($I$77="x",2)-IF($I$90="x",2)+IF($I$83="x",2)-IF($C$83="x",4)-$C$112+IF(H225="x",1)+I225+$M$77+IF(H227="x",1)+IF(J227="x",1)+IF($M$76="x",2)+J225+IF($M$85="x",1)+IF($M$113="x",1)+IF($M$120="x",2)+IF($M$119="x",2)+IF($M$105="x",1)+IF($M$110="x",1)+IF($M$111="x",2)+IF($M$112="x",4)+IF($M$108="x",1)-IF($M$109="x",1)-IF($M$99="x",1)+IF($M$90="x",1)
&amp;"/"&amp;SUM($C$3,$I$2)-$C$120+IF($C$75="x",2)+$I$16-$B$10+$M$94+IF($C$77="x",2)-IF($C$78="x",4)-IF($I$78="x",1)-IF($C$79="x",4)+IF($C$80="x",1)-IF($I$77="x",2)-IF($I$90="x",2)+IF($I$83="x",2)-IF($C$83="x",4)-$C$112-5+IF(H225="x",1)+I225+$M$77+IF(H227="x",1)+IF(J227="x",1)+IF($M$76="x",2)+J225+IF($M$85="x",1)+IF($M$113="x",1)+IF($M$120="x",2)+IF($M$119="x",2)+IF($M$105="x",1)+IF($M$110="x",1)+IF($M$111="x",2)+IF($M$112="x",4)+IF($M$108="x",1)-IF($M$109="x",1)-IF($M$99="x",1)+IF($M$90="x",1),
IF(AND($C$3&gt;10,$C$3&lt;16),SUM($C$3,$I$2)-$C$120+IF($C$75="x",2)+$I$16-$B$10+$M$94+IF($C$77="x",2)-IF($C$78="x",4)-IF($I$78="x",1)-IF($C$79="x",4)+IF($C$80="x",1)-IF($I$77="x",2)-IF($I$90="x",2)+IF($I$83="x",2)-IF($C$83="x",4)-$C$112+IF(H225="x",1)+I225+$M$77+IF(H227="x",1)+IF(J227="x",1)+IF($M$76="x",2)+J225+IF($M$85="x",1)+IF($M$113="x",1)+IF($M$120="x",2)+IF($M$119="x",2)+IF($M$105="x",1)+IF($M$110="x",1)+IF($M$111="x",2)+IF($M$112="x",4)+IF($M$108="x",1)-IF($M$109="x",1)+IF($M$99="x",20)-IF($M$99="x",1)+IF($M$90="x",1)
&amp;"/"&amp;SUM($C$3,$I$2)-$C$120+IF($C$75="x",2)+$I$16-$B$10+$M$94+IF($C$77="x",2)-IF($C$78="x",4)-IF($I$78="x",1)-IF($C$79="x",4)+IF($C$80="x",1)-IF($I$77="x",2)-IF($I$90="x",2)+IF($I$83="x",2)-IF($C$83="x",4)-$C$112-5+IF(H581="x",1)+IF(H225="x",1)+I225+$M$77+IF(H227="x",1)+IF(J227="x",1)+IF($M$76="x",2)+J225+IF($M$85="x",1)+IF($M$113="x",1)+IF($M$120="x",2)+IF($M$119="x",2)+IF($M$105="x",1)+IF($M$110="x",1)+IF($M$111="x",2)+IF($M$112="x",4)+IF($M$108="x",1)-IF($M$109="x",1)-IF($M$99="x",1)+IF($M$90="x",1)
&amp;"/"&amp;SUM($C$3,$I$2)-$C$120+IF($C$75="x",2)+$I$16-$B$10+$M$94+IF($C$77="x",2)-IF($C$78="x",4)-IF($I$78="x",1)-IF($C$79="x",4)+IF($C$80="x",1)-IF($I$77="x",2)-IF($I$90="x",2)+IF($I$83="x",2)-IF($C$83="x",4)-$C$112-10+IF(H581="x",1)+IF(H225="x",1)+I225+$M$77+IF(H227="x",1)+IF(J227="x",1)+IF($M$76="x",2)+J225+IF($M$85="x",1)+IF($M$113="x",1)+IF($M$120="x",2)+IF($M$119="x",2)+IF($M$105="x",1)+IF($M$110="x",1)+IF($M$111="x",2)+IF($M$112="x",4)+IF($M$108="x",1)-IF($M$109="x",1)-IF($M$99="x",1)+IF($M$90="x",1),
IF(AND($C$3&gt;15),SUM($C$3,$I$2)-$C$120+IF($C$75="x",2)+$I$16-$B$10+$M$94+IF($C$77="x",2)-IF($C$78="x",4)-IF($I$78="x",1)-IF($C$79="x",4)+IF($C$80="x",1)-IF($I$77="x",2)-IF($I$90="x",2)+IF($I$83="x",2)-IF($C$83="x",4)-$C$112+IF(H225="x",1)+I225+$M$77+IF(H227="x",1)+IF(J227="x",1)+IF($M$76="x",2)+J225+IF($M$85="x",1)+IF($M$113="x",1)+IF($M$120="x",2)+IF($M$119="x",2)+IF($M$105="x",1)+IF($M$110="x",1)+IF($M$111="x",2)+IF($M$112="x",4)+IF($M$108="x",1)-IF($M$109="x",1)-IF($M$99="x",1)+IF($M$90="x",1)
&amp;"/"&amp;SUM($C$3,$I$2)-$C$120+IF($C$75="x",2)+$I$16-$B$10+$M$94+IF($C$77="x",2)-IF($C$78="x",4)-IF($I$78="x",1)-IF($C$79="x",4)+IF($C$80="x",1)-IF($I$77="x",2)-IF($I$90="x",2)+IF($I$83="x",2)-IF($C$83="x",4)-$C$112-5+IF(H581="x",1)+IF(H225="x",1)+I225+$M$77+IF(H227="x",1)+IF(J227="x",1)+IF($M$76="x",2)+J225+IF($M$85="x",1)+IF($M$113="x",1)+IF($M$120="x",2)+IF($M$119="x",2)+IF($M$105="x",1)+IF($M$110="x",1)+IF($M$111="x",2)+IF($M$112="x",4)+IF($M$108="x",1)-IF($M$109="x",1)-IF($M$99="x",1)+IF($M$90="x",1)
&amp;"/"&amp;SUM($C$3,$I$2)-$C$120+IF($C$75="x",2)+$I$16-$B$10+$M$94+IF($C$77="x",2)-IF($C$78="x",4)-IF($I$78="x",1)-IF($C$79="x",4)+IF($C$80="x",1)-IF($I$77="x",2)-IF($I$90="x",2)+IF($I$83="x",2)-IF($C$83="x",4)-$C$112-10+IF(H581="x",1)+IF(H225="x",1)+I225+$M$77+IF(H227="x",1)+IF(J227="x",1)+IF($M$76="x",2)+J225+IF($M$85="x",1)+IF($M$113="x",1)+IF($M$120="x",2)+IF($M$119="x",2)+IF($M$105="x",1)+IF($M$110="x",1)+IF($M$111="x",2)+IF($M$112="x",4)+IF($M$108="x",1)-IF($M$109="x",1)-IF($M$99="x",1)+IF($M$90="x",1)
&amp;"/"&amp;SUM($C$3,$I$2)-$C$120+IF($C$75="x",2)+$I$16-$B$10+$M$94+IF($C$77="x",2)-IF($C$78="x",4)-IF($I$78="x",1)-IF($C$79="x",4)+IF($C$80="x",1)-IF($I$77="x",2)-IF($I$90="x",2)+IF($I$83="x",2)-IF($C$83="x",4)-$C$112-15+IF(H581="x",1)+IF(H225="x",1)+I225+$M$77+IF(H227="x",1)+IF(J227="x",1)+IF($M$76="x",2)+J225+IF($M$85="x",1)+IF($M$113="x",1)+IF($M$120="x",2)+IF($M$119="x",2)+IF($M$105="x",1)+IF($M$110="x",1)+IF($M$111="x",2)+IF($M$112="x",4)+IF($M$108="x",1)-IF($M$109="x",1)-IF($M$99="x",1)+IF($M$90="x",1))))))</f>
        <v>0</v>
      </c>
      <c r="C226" s="114" t="str">
        <f>_xlfn.IFS($C$7="Minimaalinen","–",$C$7="Taskukokoinen","1",$C$7="Hyvin pieni","1n2",$C$7="Pieni","1n3",$C$7="Keskikokoinen","1n4",$C$7="Iso","1n6",$C$7="Valtava","1n8",$C$7="Suunnaton","2n6",$C$7="Giganttinen","3n6")</f>
        <v>1n4</v>
      </c>
      <c r="D226" s="119">
        <f>IF($I$2&lt;0,$I$2,INT($I$2*1.5))+($C$120*2)+I225+$M$77+IF(I227="x",2)+IF(K227="x",2)+IF($M$119="x",2)+IF($M$108="x",1)+$M$94-IF($M$109="x",1)+K225</f>
        <v>0</v>
      </c>
      <c r="E226" s="114" t="str">
        <f>_xlfn.IFS($C$7="Minimaalinen","–",$C$7="Taskukokoinen","2",$C$7="Hyvin pieni","2n2",$C$7="Pieni","2n3",$C$7="Keskikokoinen","2n4",$C$7="Iso","2n6",$C$7="Valtava","2n8",$C$7="Suunnaton","4n6",$C$7="Giganttinen","6n6")</f>
        <v>2n4</v>
      </c>
      <c r="F226" s="120">
        <f>SUM(D226*2)</f>
        <v>0</v>
      </c>
      <c r="G226" s="120" t="str">
        <f>(IF($I$89="x","50 %","")&amp;(IF($C$81="x","20 %",""))&amp;(IF($C$82="x","50 %","")))</f>
        <v/>
      </c>
      <c r="H226" s="14" t="s">
        <v>220</v>
      </c>
      <c r="I226" s="14" t="s">
        <v>221</v>
      </c>
      <c r="J226" s="14" t="s">
        <v>222</v>
      </c>
      <c r="K226" s="14" t="s">
        <v>223</v>
      </c>
      <c r="AB226" s="55"/>
      <c r="AC226" s="50"/>
      <c r="AD226" s="56"/>
      <c r="AE226" s="56"/>
      <c r="AF226" s="56"/>
      <c r="AG226" s="56"/>
      <c r="AH226" s="56"/>
      <c r="AI226" s="56"/>
      <c r="AJ226" s="56"/>
      <c r="AK226" s="56"/>
      <c r="AL226" s="56"/>
    </row>
    <row r="227" spans="1:38" x14ac:dyDescent="0.2">
      <c r="A227" s="25" t="s">
        <v>438</v>
      </c>
      <c r="B227" s="121">
        <f>IF($I$85="x","PAINISSA",IF($C$3&lt;=5,SUM($C$3,$I$2)-$C$120+IF($C$75="x",2)+$I$16-$B$10+$M$94+IF($C$77="x",2)-IF($C$78="x",4)-IF($I$78="x",1)-IF($C$79="x",4)+IF($C$80="x",1)-IF($I$77="x",2)-IF($I$90="x",2)+IF($I$83="x",2)-IF($C$75="x",4)-$C$112+IF(H225="x",1)+I225+$M$77+IF(H227="x",1)+IF(J227="x",1)+IF($M$76="x",2)+J225+IF($M$85="x",1)+IF($M$113="x",1)+IF($M$120="x",2)+IF($M$119="x",2)+IF($M$105="x",1)+IF($M$110="x",1)+IF($M$111="x",2)+IF($M$112="x",4)+IF($M$108="x",1)-IF($M$109="x",1)-IF($M$99="x",1)+IF($M$90="x",1)-IF($C$97="x",2,4),
IF(AND($C$3&gt;5,$C$3&lt;11),SUM($C$3,$I$2)-$C$120+IF($C$75="x",2)+$I$16-$B$10+$M$94+IF($C$77="x",2)-IF($C$78="x",4)-IF($I$78="x",1)-IF($C$79="x",4)+IF($C$80="x",1)-IF($I$77="x",2)-IF($I$90="x",2)+IF($I$83="x",2)-IF($C$83="x",4)-$C$112+IF(H225="x",1)+I225+$M$77+IF(H227="x",1)+IF(J227="x",1)+IF($M$76="x",2)+J225+IF($M$85="x",1)+IF($M$113="x",1)+IF($M$120="x",2)+IF($M$119="x",2)+IF($M$105="x",1)+IF($M$110="x",1)+IF($M$111="x",2)+IF($M$112="x",4)+IF($M$108="x",1)-IF($M$109="x",1)-IF($M$99="x",1)+IF($M$90="x",1)-IF($C$97="x",2,4)
&amp;"/"&amp;SUM($C$3,$I$2)-$C$120+IF($C$75="x",2)+$I$16-$B$10+$M$94+IF($C$77="x",2)-IF($C$78="x",4)-IF($I$78="x",1)-IF($C$79="x",4)+IF($C$80="x",1)-IF($I$77="x",2)-IF($I$90="x",2)+IF($I$83="x",2)-IF($C$83="x",4)-$C$112-5+IF(H225="x",1)+I225+$M$77+IF(H227="x",1)+IF(J227="x",1)+IF($M$76="x",2)+J225+IF($M$85="x",1)+IF($M$113="x",1)+IF($M$120="x",2)+IF($M$119="x",2)+IF($M$105="x",1)+IF($M$110="x",1)+IF($M$111="x",2)+IF($M$112="x",4)+IF($M$108="x",1)-IF($M$109="x",1)-IF($M$99="x",1)+IF($M$90="x",1)-IF($C$97="x",2,4),
IF(AND($C$3&gt;10,$C$3&lt;16),SUM($C$3,$I$2)-$C$120+IF($C$75="x",2)+$I$16-$B$10+$M$94+IF($C$77="x",2)-IF($C$78="x",4)-IF($I$78="x",1)-IF($C$79="x",4)+IF($C$80="x",1)-IF($I$77="x",2)-IF($I$90="x",2)+IF($I$83="x",2)-IF($C$83="x",4)-$C$112+IF(H225="x",1)+I225+$M$77+IF(H227="x",1)+IF(J227="x",1)+IF($M$76="x",2)+J225+IF($M$85="x",1)+IF($M$113="x",1)+IF($M$120="x",2)+IF($M$119="x",2)+IF($M$105="x",1)+IF($M$110="x",1)+IF($M$111="x",2)+IF($M$112="x",4)+IF($M$108="x",1)-IF($M$109="x",1)+IF($M$99="x",20)-IF($M$99="x",1)+IF($M$90="x",1)-IF($C$97="x",2,4)
&amp;"/"&amp;SUM($C$3,$I$2)-$C$120+IF($C$75="x",2)+$I$16-$B$10+$M$94+IF($C$77="x",2)-IF($C$78="x",4)-IF($I$78="x",1)-IF($C$79="x",4)+IF($C$80="x",1)-IF($I$77="x",2)-IF($I$90="x",2)+IF($I$83="x",2)-IF($C$83="x",4)-$C$112-5+IF(H581="x",1)+IF(H225="x",1)+I225+$M$77+IF(H227="x",1)+IF(J227="x",1)+IF($M$76="x",2)+J225+IF($M$85="x",1)+IF($M$113="x",1)+IF($M$120="x",2)+IF($M$119="x",2)+IF($M$105="x",1)+IF($M$110="x",1)+IF($M$111="x",2)+IF($M$112="x",4)+IF($M$108="x",1)-IF($M$109="x",1)-IF($M$99="x",1)+IF($M$90="x",1)-IF($C$97="x",2,4)
&amp;"/"&amp;SUM($C$3,$I$2)-$C$120+IF($C$75="x",2)+$I$16-$B$10+$M$94+IF($C$77="x",2)-IF($C$78="x",4)-IF($I$78="x",1)-IF($C$79="x",4)+IF($C$80="x",1)-IF($I$77="x",2)-IF($I$90="x",2)+IF($I$83="x",2)-IF($C$83="x",4)-$C$112-10+IF(H581="x",1)+IF(H225="x",1)+I225+$M$77+IF(H227="x",1)+IF(J227="x",1)+IF($M$76="x",2)+J225+IF($M$85="x",1)+IF($M$113="x",1)+IF($M$120="x",2)+IF($M$119="x",2)+IF($M$105="x",1)+IF($M$110="x",1)+IF($M$111="x",2)+IF($M$112="x",4)+IF($M$108="x",1)-IF($M$109="x",1)-IF($M$99="x",1)+IF($M$90="x",1)-IF($C$97="x",2,4),
IF(AND($C$3&gt;15),SUM($C$3,$I$2)-$C$120+IF($C$75="x",2)+$I$16-$B$10+$M$94+IF($C$77="x",2)-IF($C$78="x",4)-IF($I$78="x",1)-IF($C$79="x",4)+IF($C$80="x",1)-IF($I$77="x",2)-IF($I$90="x",2)+IF($I$83="x",2)-IF($C$83="x",4)-$C$112+IF(H225="x",1)+I225+$M$77+IF(H227="x",1)+IF(J227="x",1)+IF($M$76="x",2)+J225+IF($M$85="x",1)+IF($M$113="x",1)+IF($M$120="x",2)+IF($M$119="x",2)+IF($M$105="x",1)+IF($M$110="x",1)+IF($M$111="x",2)+IF($M$112="x",4)+IF($M$108="x",1)-IF($M$109="x",1)-IF($M$99="x",1)+IF($M$90="x",1)-IF($C$97="x",2,4)
&amp;"/"&amp;SUM($C$3,$I$2)-$C$120+IF($C$75="x",2)+$I$16-$B$10+$M$94+IF($C$77="x",2)-IF($C$78="x",4)-IF($I$78="x",1)-IF($C$79="x",4)+IF($C$80="x",1)-IF($I$77="x",2)-IF($I$90="x",2)+IF($I$83="x",2)-IF($C$83="x",4)-$C$112-5+IF(H581="x",1)+IF(H225="x",1)+I225+$M$77+IF(H227="x",1)+IF(J227="x",1)+IF($M$76="x",2)+J225+IF($M$85="x",1)+IF($M$113="x",1)+IF($M$120="x",2)+IF($M$119="x",2)+IF($M$105="x",1)+IF($M$110="x",1)+IF($M$111="x",2)+IF($M$112="x",4)+IF($M$108="x",1)-IF($M$109="x",1)-IF($M$99="x",1)+IF($M$90="x",1)-IF($C$97="x",2,4)
&amp;"/"&amp;SUM($C$3,$I$2)-$C$120+IF($C$75="x",2)+$I$16-$B$10+$M$94+IF($C$77="x",2)-IF($C$78="x",4)-IF($I$78="x",1)-IF($C$79="x",4)+IF($C$80="x",1)-IF($I$77="x",2)-IF($I$90="x",2)+IF($I$83="x",2)-IF($C$83="x",4)-$C$112-10+IF(H581="x",1)+IF(H225="x",1)+I225+$M$77+IF(H227="x",1)+IF(J227="x",1)+IF($M$76="x",2)+J225+IF($M$85="x",1)+IF($M$113="x",1)+IF($M$120="x",2)+IF($M$119="x",2)+IF($M$105="x",1)+IF($M$110="x",1)+IF($M$111="x",2)+IF($M$112="x",4)+IF($M$108="x",1)-IF($M$109="x",1)-IF($M$99="x",1)+IF($M$90="x",1)-IF($C$97="x",2,4)
&amp;"/"&amp;SUM($C$3,$I$2)-$C$120+IF($C$75="x",2)+$I$16-$B$10+$M$94+IF($C$77="x",2)-IF($C$78="x",4)-IF($I$78="x",1)-IF($C$79="x",4)+IF($C$80="x",1)-IF($I$77="x",2)-IF($I$90="x",2)+IF($I$83="x",2)-IF($C$83="x",4)-$C$112-15+IF(H581="x",1)+IF(H225="x",1)+I225+$M$77+IF(H227="x",1)+IF(J227="x",1)+IF($M$76="x",2)+J225+IF($M$85="x",1)+IF($M$113="x",1)+IF($M$120="x",2)+IF($M$119="x",2)+IF($M$105="x",1)+IF($M$110="x",1)+IF($M$111="x",2)+IF($M$112="x",4)+IF($M$108="x",1)-IF($M$109="x",1)-IF($M$99="x",1)+IF($M$90="x",1)-IF($C$97="x",2,4))))))</f>
        <v>-4</v>
      </c>
      <c r="C227" s="49" t="str">
        <f>_xlfn.IFS($C$7="Minimaalinen","–",$C$7="Taskukokoinen","1",$C$7="Hyvin pieni","1n2",$C$7="Pieni","1n3",$C$7="Keskikokoinen","1n4",$C$7="Iso","1n6",$C$7="Valtava","1n8",$C$7="Suunnaton","2n6",$C$7="Giganttinen","3n6")</f>
        <v>1n4</v>
      </c>
      <c r="D227" s="121">
        <f>SUM($I$2+$C$120)+I225+$M$77+IF(I227="x",2)+IF(K227="x",2)+IF($M$119="x",2)+IF($M$108="x",1)+$M$94-IF($M$109="x",1)+K225</f>
        <v>0</v>
      </c>
      <c r="E227" s="49" t="str">
        <f>_xlfn.IFS($C$7="Minimaalinen","–",$C$7="Taskukokoinen","2",$C$7="Hyvin pieni","2n2",$C$7="Pieni","2n3",$C$7="Keskikokoinen","2n4",$C$7="Iso","2n6",$C$7="Valtava","2n8",$C$7="Suunnaton","4n6",$C$7="Giganttinen","6n6")</f>
        <v>2n4</v>
      </c>
      <c r="F227" s="82">
        <f>SUM(D227*2)</f>
        <v>0</v>
      </c>
      <c r="G227" s="82" t="str">
        <f>(IF($I$89="x","50 %","")&amp;(IF($C$81="x","20 %",""))&amp;(IF($C$82="x","50 %","")))</f>
        <v/>
      </c>
      <c r="H227" s="28"/>
      <c r="I227" s="28"/>
      <c r="J227" s="28"/>
      <c r="K227" s="28"/>
      <c r="AB227" s="59"/>
      <c r="AC227" s="51"/>
      <c r="AD227" s="49"/>
      <c r="AE227" s="51"/>
      <c r="AF227" s="49"/>
      <c r="AG227" s="49"/>
      <c r="AH227" s="49"/>
      <c r="AI227" s="56"/>
      <c r="AJ227" s="56"/>
      <c r="AK227" s="56"/>
      <c r="AL227" s="56"/>
    </row>
    <row r="228" spans="1:38" x14ac:dyDescent="0.2">
      <c r="A228" s="25" t="s">
        <v>437</v>
      </c>
      <c r="B228" s="82">
        <f>IF($I$85="x","PAINISSA",IF($C$3&lt;=5,SUM($C$3,$I$2)-$C$120+IF($C$75="x",2)+$I$16-$B$10+$M$94+IF($C$77="x",2)-IF($C$78="x",4)-IF($I$78="x",1)-IF($C$79="x",4)+IF($C$80="x",1)-IF($I$77="x",2)-IF($I$90="x",2)+IF($I$83="x",2)-IF($C$75="x",4)-$C$112+IF(H225="x",1)+I225+$M$77+IF(H227="x",1)+IF(J227="x",1)+IF($M$76="x",2)+J225+IF($M$85="x",1)+IF($M$113="x",1)+IF($M$120="x",2)+IF($M$119="x",2)+IF($M$105="x",1)+IF($M$110="x",1)+IF($M$111="x",2)+IF($M$112="x",4)+IF($M$108="x",1)-IF($M$109="x",1)-IF($M$99="x",1)+IF($M$90="x",1)-IF($C$97="x",4,6),
IF(AND($C$3&gt;5,$C$3&lt;11),SUM($C$3,$I$2)-$C$120+IF($C$75="x",2)+$I$16-$B$10+$M$94+IF($C$77="x",2)-IF($C$78="x",4)-IF($I$78="x",1)-IF($C$79="x",4)+IF($C$80="x",1)-IF($I$77="x",2)-IF($I$90="x",2)+IF($I$83="x",2)-IF($C$83="x",4)-$C$112+IF(H225="x",1)+I225+$M$77+IF(H227="x",1)+IF(J227="x",1)+IF($M$76="x",2)+J225+IF($M$85="x",1)+IF($M$113="x",1)+IF($M$120="x",2)+IF($M$119="x",2)+IF($M$105="x",1)+IF($M$110="x",1)+IF($M$111="x",2)+IF($M$112="x",4)+IF($M$108="x",1)-IF($M$109="x",1)-IF($M$99="x",1)+IF($M$90="x",1)-IF($C$97="x",4,6)
&amp;"/"&amp;SUM($C$3,$I$2)-$C$120+IF($C$75="x",2)+$I$16-$B$10+$M$94+IF($C$77="x",2)-IF($C$78="x",4)-IF($I$78="x",1)-IF($C$79="x",4)+IF($C$80="x",1)-IF($I$77="x",2)-IF($I$90="x",2)+IF($I$83="x",2)-IF($C$83="x",4)-$C$112-5+IF(H225="x",1)+I225+$M$77+IF(H227="x",1)+IF(J227="x",1)+IF($M$76="x",2)+J225+IF($M$85="x",1)+IF($M$113="x",1)+IF($M$120="x",2)+IF($M$119="x",2)+IF($M$105="x",1)+IF($M$110="x",1)+IF($M$111="x",2)+IF($M$112="x",4)+IF($M$108="x",1)-IF($M$109="x",1)-IF($M$99="x",1)+IF($M$90="x",1)-IF($C$97="x",4,6),
IF(AND($C$3&gt;10,$C$3&lt;16),SUM($C$3,$I$2)-$C$120+IF($C$75="x",2)+$I$16-$B$10+$M$94+IF($C$77="x",2)-IF($C$78="x",4)-IF($I$78="x",1)-IF($C$79="x",4)+IF($C$80="x",1)-IF($I$77="x",2)-IF($I$90="x",2)+IF($I$83="x",2)-IF($C$83="x",4)-$C$112+IF(H225="x",1)+I225+$M$77+IF(H227="x",1)+IF(J227="x",1)+IF($M$76="x",2)+J225+IF($M$85="x",1)+IF($M$113="x",1)+IF($M$120="x",2)+IF($M$119="x",2)+IF($M$105="x",1)+IF($M$110="x",1)+IF($M$111="x",2)+IF($M$112="x",4)+IF($M$108="x",1)-IF($M$109="x",1)+IF($M$99="x",20)-IF($M$99="x",1)+IF($M$90="x",1)-IF($C$97="x",4,6)
&amp;"/"&amp;SUM($C$3,$I$2)-$C$120+IF($C$75="x",2)+$I$16-$B$10+$M$94+IF($C$77="x",2)-IF($C$78="x",4)-IF($I$78="x",1)-IF($C$79="x",4)+IF($C$80="x",1)-IF($I$77="x",2)-IF($I$90="x",2)+IF($I$83="x",2)-IF($C$83="x",4)-$C$112-5+IF(H581="x",1)+IF(H225="x",1)+I225+$M$77+IF(H227="x",1)+IF(J227="x",1)+IF($M$76="x",2)+J225+IF($M$85="x",1)+IF($M$113="x",1)+IF($M$120="x",2)+IF($M$119="x",2)+IF($M$105="x",1)+IF($M$110="x",1)+IF($M$111="x",2)+IF($M$112="x",4)+IF($M$108="x",1)-IF($M$109="x",1)-IF($M$99="x",1)+IF($M$90="x",1)-IF($C$97="x",4,6)
&amp;"/"&amp;SUM($C$3,$I$2)-$C$120+IF($C$75="x",2)+$I$16-$B$10+$M$94+IF($C$77="x",2)-IF($C$78="x",4)-IF($I$78="x",1)-IF($C$79="x",4)+IF($C$80="x",1)-IF($I$77="x",2)-IF($I$90="x",2)+IF($I$83="x",2)-IF($C$83="x",4)-$C$112-10+IF(H581="x",1)+IF(H225="x",1)+I225+$M$77+IF(H227="x",1)+IF(J227="x",1)+IF($M$76="x",2)+J225+IF($M$85="x",1)+IF($M$113="x",1)+IF($M$120="x",2)+IF($M$119="x",2)+IF($M$105="x",1)+IF($M$110="x",1)+IF($M$111="x",2)+IF($M$112="x",4)+IF($M$108="x",1)-IF($M$109="x",1)-IF($M$99="x",1)+IF($M$90="x",1)-IF($C$97="x",4,6),
IF(AND($C$3&gt;15),SUM($C$3,$I$2)-$C$120+IF($C$75="x",2)+$I$16-$B$10+$M$94+IF($C$77="x",2)-IF($C$78="x",4)-IF($I$78="x",1)-IF($C$79="x",4)+IF($C$80="x",1)-IF($I$77="x",2)-IF($I$90="x",2)+IF($I$83="x",2)-IF($C$83="x",4)-$C$112+IF(H225="x",1)+I225+$M$77+IF(H227="x",1)+IF(J227="x",1)+IF($M$76="x",2)+J225+IF($M$85="x",1)+IF($M$113="x",1)+IF($M$120="x",2)+IF($M$119="x",2)+IF($M$105="x",1)+IF($M$110="x",1)+IF($M$111="x",2)+IF($M$112="x",4)+IF($M$108="x",1)-IF($M$109="x",1)-IF($M$99="x",1)+IF($M$90="x",1)-IF($C$97="x",4,6)
&amp;"/"&amp;SUM($C$3,$I$2)-$C$120+IF($C$75="x",2)+$I$16-$B$10+$M$94+IF($C$77="x",2)-IF($C$78="x",4)-IF($I$78="x",1)-IF($C$79="x",4)+IF($C$80="x",1)-IF($I$77="x",2)-IF($I$90="x",2)+IF($I$83="x",2)-IF($C$83="x",4)-$C$112-5+IF(H581="x",1)+IF(H225="x",1)+I225+$M$77+IF(H227="x",1)+IF(J227="x",1)+IF($M$76="x",2)+J225+IF($M$85="x",1)+IF($M$113="x",1)+IF($M$120="x",2)+IF($M$119="x",2)+IF($M$105="x",1)+IF($M$110="x",1)+IF($M$111="x",2)+IF($M$112="x",4)+IF($M$108="x",1)-IF($M$109="x",1)-IF($M$99="x",1)+IF($M$90="x",1)-IF($C$97="x",4,6)
&amp;"/"&amp;SUM($C$3,$I$2)-$C$120+IF($C$75="x",2)+$I$16-$B$10+$M$94+IF($C$77="x",2)-IF($C$78="x",4)-IF($I$78="x",1)-IF($C$79="x",4)+IF($C$80="x",1)-IF($I$77="x",2)-IF($I$90="x",2)+IF($I$83="x",2)-IF($C$83="x",4)-$C$112-10+IF(H581="x",1)+IF(H225="x",1)+I225+$M$77+IF(H227="x",1)+IF(J227="x",1)+IF($M$76="x",2)+J225+IF($M$85="x",1)+IF($M$113="x",1)+IF($M$120="x",2)+IF($M$119="x",2)+IF($M$105="x",1)+IF($M$110="x",1)+IF($M$111="x",2)+IF($M$112="x",4)+IF($M$108="x",1)-IF($M$109="x",1)-IF($M$99="x",1)+IF($M$90="x",1)-IF($C$97="x",4,6)
&amp;"/"&amp;SUM($C$3,$I$2)-$C$120+IF($C$75="x",2)+$I$16-$B$10+$M$94+IF($C$77="x",2)-IF($C$78="x",4)-IF($I$78="x",1)-IF($C$79="x",4)+IF($C$80="x",1)-IF($I$77="x",2)-IF($I$90="x",2)+IF($I$83="x",2)-IF($C$83="x",4)-$C$112-15+IF(H581="x",1)+IF(H225="x",1)+I225+$M$77+IF(H227="x",1)+IF(J227="x",1)+IF($M$76="x",2)+J225+IF($M$85="x",1)+IF($M$113="x",1)+IF($M$120="x",2)+IF($M$119="x",2)+IF($M$105="x",1)+IF($M$110="x",1)+IF($M$111="x",2)+IF($M$112="x",4)+IF($M$108="x",1)-IF($M$109="x",1)-IF($M$99="x",1)+IF($M$90="x",1)-IF($C$97="x",4,6))))))</f>
        <v>-6</v>
      </c>
      <c r="C228" s="49" t="str">
        <f>_xlfn.IFS($C$7="Minimaalinen","–",$C$7="Taskukokoinen","1",$C$7="Hyvin pieni","1n2",$C$7="Pieni","1n3",$C$7="Keskikokoinen","1n4",$C$7="Iso","1n6",$C$7="Valtava","1n8",$C$7="Suunnaton","2n6",$C$7="Giganttinen","3n6")</f>
        <v>1n4</v>
      </c>
      <c r="D228" s="121">
        <f>SUM($I$2+$C$120)+I225+$M$77+IF(I227="x",2)+IF(K227="x",2)+IF($M$119="x",2)+IF($M$108="x",1)+$M$94-IF($M$109="x",1)+K225</f>
        <v>0</v>
      </c>
      <c r="E228" s="49" t="str">
        <f>_xlfn.IFS($C$7="Minimaalinen","–",$C$7="Taskukokoinen","2",$C$7="Hyvin pieni","2n2",$C$7="Pieni","2n3",$C$7="Keskikokoinen","2n4",$C$7="Iso","2n6",$C$7="Valtava","2n8",$C$7="Suunnaton","4n6",$C$7="Giganttinen","6n6")</f>
        <v>2n4</v>
      </c>
      <c r="F228" s="82">
        <f>SUM(D228*2)</f>
        <v>0</v>
      </c>
      <c r="G228" s="82" t="str">
        <f>(IF($I$89="x","50 %","")&amp;(IF($C$81="x","20 %",""))&amp;(IF($C$82="x","50 %","")))</f>
        <v/>
      </c>
      <c r="H228" s="14" t="s">
        <v>182</v>
      </c>
      <c r="I228" s="15"/>
      <c r="AB228" s="62"/>
      <c r="AC228" s="53"/>
      <c r="AD228" s="61"/>
      <c r="AE228" s="63"/>
      <c r="AF228" s="61"/>
      <c r="AG228" s="61"/>
      <c r="AH228" s="53"/>
      <c r="AI228" s="56"/>
      <c r="AJ228" s="56"/>
      <c r="AK228" s="56"/>
      <c r="AL228" s="56"/>
    </row>
    <row r="229" spans="1:38" x14ac:dyDescent="0.2">
      <c r="A229" s="122" t="s">
        <v>436</v>
      </c>
      <c r="B229" s="123">
        <f>IF($I$85="x","PAINISSA",IF(AND($C$90="",$C$118=""),SUM($C$3,$I$2)-$C$120+IF($C$75="x",2)+$I$16-$B$10+$M$94+IF($C$77="x",2)-IF($C$78="x",4)-IF($I$78="x",1)-IF($C$79="x",4)+IF($C$80="x",1)-IF($I$77="x",2)-IF($I$90="x",2)+IF($I$83="x",2)-IF($C$75="x",4)-$C$112+IF(H225="x",1)+I225+$M$77+IF(H227="x",1)+IF(J227="x",1)+IF($M$76="x",2)+J225+IF($M$85="x",1)+IF($M$113="x",1)+IF($M$120="x",2)+IF($M$119="x",2)+IF($M$105="x",1)+IF($M$110="x",1)+IF($M$111="x",2)+IF($M$112="x",4)+IF($M$108="x",1)-IF($M$109="x",1)-IF($M$99="x",1)+IF($M$90="x",1)-IF($C$97="x",4,10),
IF(AND($C$90="x",$C$118=""),SUM($C$3,$I$2)-$C$120+IF($C$75="x",2)+$I$16-$B$10+$M$94+IF($C$77="x",2)-IF($C$78="x",4)-IF($I$78="x",1)-IF($C$79="x",4)+IF($C$80="x",1)-IF($I$77="x",2)-IF($I$90="x",2)+IF($I$83="x",2)-IF($C$83="x",4)-$C$112+IF(H225="x",1)+I225+$M$77+IF(H227="x",1)+IF(J227="x",1)+IF($M$76="x",2)+J225+IF($M$85="x",1)+IF($M$113="x",1)+IF($M$120="x",2)+IF($M$119="x",2)+IF($M$105="x",1)+IF($M$110="x",1)+IF($M$111="x",2)+IF($M$112="x",4)+IF($M$108="x",1)-IF($M$109="x",1)-IF($M$99="x",1)+IF($M$90="x",1)-IF($C$97="x",4,10)
&amp;"/"&amp;SUM($C$3,$I$2)-$C$120+IF($C$75="x",2)+$I$16-$B$10+$M$94+IF($C$77="x",2)-IF($C$78="x",4)-IF($I$78="x",1)-IF($C$79="x",4)+IF($C$80="x",1)-IF($I$77="x",2)-IF($I$90="x",2)+IF($I$83="x",2)-IF($C$83="x",4)-$C$112+IF(H225="x",1)+I225+$M$77+IF(H227="x",1)+IF(J227="x",1)+IF($M$76="x",2)+J225+IF($M$85="x",1)+IF($M$113="x",1)+IF($M$120="x",2)+IF($M$119="x",2)+IF($M$105="x",1)+IF($M$110="x",1)+IF($M$111="x",2)+IF($M$112="x",4)+IF($M$108="x",1)-IF($M$109="x",1)-IF($M$99="x",1)+IF($M$90="x",1)-IF($C$97="x",4,10)-5,
IF(AND($C$90="x",$C$118="x"),SUM($C$3,$I$2)-$C$120+IF($C$75="x",2)+$I$16-$B$10+$M$94+IF($C$77="x",2)-IF($C$78="x",4)-IF($I$78="x",1)-IF($C$79="x",4)+IF($C$80="x",1)-IF($I$77="x",2)-IF($I$90="x",2)+IF($I$83="x",2)-IF($C$83="x",4)-$C$112+IF(H225="x",1)+I225+$M$77+IF(H227="x",1)+IF(J227="x",1)+IF($M$76="x",2)+J225+IF($M$85="x",1)+IF($M$113="x",1)+IF($M$120="x",2)+IF($M$119="x",2)+IF($M$105="x",1)+IF($M$110="x",1)+IF($M$111="x",2)+IF($M$112="x",4)+IF($M$108="x",1)-IF($M$109="x",1)+IF($M$99="x",20)-IF($M$99="x",1)+IF($M$90="x",1)-IF($C$97="x",4,10)
&amp;"/"&amp;SUM($C$3,$I$2)-$C$120+IF($C$75="x",2)+$I$16-$B$10+$M$94+IF($C$77="x",2)-IF($C$78="x",4)-IF($I$78="x",1)-IF($C$79="x",4)+IF($C$80="x",1)-IF($I$77="x",2)-IF($I$90="x",2)+IF($I$83="x",2)-IF($C$83="x",4)-$C$112-5+IF(H225="x",1)+I225+$M$77+IF(H227="x",1)+IF(J227="x",1)+IF($M$76="x",2)+J225+IF($M$85="x",1)+IF($M$113="x",1)+IF($M$120="x",2)+IF($M$119="x",2)+IF($M$105="x",1)+IF($M$110="x",1)+IF($M$111="x",2)+IF($M$112="x",4)+IF($M$108="x",1)-IF($M$109="x",1)-IF($M$99="x",1)+IF($M$90="x",1)-IF($C$97="x",4,10)
&amp;"/"&amp;SUM($C$3,$I$2)-$C$120+IF($C$75="x",2)+$I$16-$B$10+$M$94+IF($C$77="x",2)-IF($C$78="x",4)-IF($I$78="x",1)-IF($C$79="x",4)+IF($C$80="x",1)-IF($I$77="x",2)-IF($I$90="x",2)+IF($I$83="x",2)-IF($C$83="x",4)-$C$112-10+IF(H225="x",1)+I225+$M$77+IF(H227="x",1)+IF(J227="x",1)+IF($M$76="x",2)+J225+IF($M$85="x",1)+IF($M$113="x",1)+IF($M$120="x",2)+IF($M$119="x",2)+IF($M$105="x",1)+IF($M$110="x",1)+IF($M$111="x",2)+IF($M$112="x",4)+IF($M$108="x",1)-IF($M$109="x",1)-IF($M$99="x",1)+IF($M$90="x",1)-IF($C$97="x",4,10)))))</f>
        <v>-10</v>
      </c>
      <c r="C229" s="54" t="str">
        <f>_xlfn.IFS($C$7="Minimaalinen","–",$C$7="Taskukokoinen","1",$C$7="Hyvin pieni","1n2",$C$7="Pieni","1n3",$C$7="Keskikokoinen","1n4",$C$7="Iso","1n6",$C$7="Valtava","1n8",$C$7="Suunnaton","2n6",$C$7="Giganttinen","3n6")</f>
        <v>1n4</v>
      </c>
      <c r="D229" s="123">
        <f>INT($I$2/2)+($C$120)+I225+$M$77+IF(I227="x",2)+IF(K227="x",2)+IF($M$119="x",2)+IF($M$108="x",1)+$M$94+K225-IF($M$109="x",1)</f>
        <v>0</v>
      </c>
      <c r="E229" s="54" t="str">
        <f>_xlfn.IFS($C$7="Minimaalinen","–",$C$7="Taskukokoinen","2",$C$7="Hyvin pieni","2n2",$C$7="Pieni","2n3",$C$7="Keskikokoinen","2n4",$C$7="Iso","2n6",$C$7="Valtava","2n8",$C$7="Suunnaton","4n6",$C$7="Giganttinen","6n6")</f>
        <v>2n4</v>
      </c>
      <c r="F229" s="124">
        <f>SUM(D229*2)</f>
        <v>0</v>
      </c>
      <c r="G229" s="124" t="str">
        <f>(IF($I$89="x","50 %","")&amp;(IF($C$81="x","20 %",""))&amp;(IF($C$82="x","50 %","")))</f>
        <v/>
      </c>
      <c r="H229" s="28"/>
      <c r="K229" s="82"/>
      <c r="AB229" s="59"/>
      <c r="AC229" s="51"/>
      <c r="AD229" s="61"/>
      <c r="AE229" s="63"/>
      <c r="AF229" s="61"/>
      <c r="AG229" s="61"/>
      <c r="AH229" s="49"/>
      <c r="AI229" s="57"/>
      <c r="AJ229" s="57"/>
      <c r="AK229" s="57"/>
      <c r="AL229" s="57"/>
    </row>
    <row r="230" spans="1:38" x14ac:dyDescent="0.2">
      <c r="A230" s="125" t="s">
        <v>250</v>
      </c>
      <c r="B230" s="25"/>
      <c r="C230" s="25"/>
      <c r="D230" s="25"/>
      <c r="E230" s="25"/>
      <c r="F230" s="25"/>
      <c r="G230" s="25"/>
      <c r="H230" s="25"/>
      <c r="I230" s="25"/>
      <c r="J230" s="25"/>
      <c r="K230" s="25"/>
      <c r="AB230" s="62"/>
      <c r="AC230" s="53"/>
      <c r="AD230" s="61"/>
      <c r="AE230" s="63"/>
      <c r="AF230" s="61"/>
      <c r="AG230" s="61"/>
      <c r="AH230" s="53"/>
      <c r="AI230" s="57"/>
      <c r="AJ230" s="57"/>
      <c r="AK230" s="57"/>
      <c r="AL230" s="57"/>
    </row>
    <row r="231" spans="1:38" x14ac:dyDescent="0.2">
      <c r="A231" s="126">
        <f>IF($C$98="x",20*1.5,20)</f>
        <v>20</v>
      </c>
      <c r="B231" s="121">
        <f>_xlfn.IFS($I$85="x",
"PAINISSA",
$C$106="",
SUM($C$3,$I$3)+IF(H229="x",1)+$I$16-$B$10+$M$94+IF($C$77="x",2)-IF($C$78="x",4)-IF($I$78="x",1)-IF($I$77="x",2)-IF($I$90="x",2)+IF($I$83="x",2)-IF($C$76="x",4)-$C$112+IF(H225="x",1)+I225+$M$77+IF(H227="x",1)+IF(J227="x",1)+IF($M$76="x",2)+J225+IF($M$85="x",1)+IF($M$113="x",1)+IF($M$120="x",2)+IF($M$119="x",2)+IF($M$105="x",1)+IF($M$110="x",1)+IF($M$111="x",2)+IF($M$112="x",4)+IF($M$108="x",1)-IF($M$109="x",1)-IF($M$99="x",1)+IF($M$90="x",1),
$B$3&lt;6,
SUM($C$3,$I$3)+IF(H229="x",1)+$I$16-$B$10+$M$94+IF($C$77="x",2)-IF($C$78="x",4)-IF($I$78="x",1)-IF($I$77="x",2)-IF($I$90="x",2)+IF($I$83="x",2)-IF($C$76="x",4)-$C$112+IF(H225="x",1)+I225+$M$77+IF(H227="x",1)+IF(J227="x",1)+IF($M$76="x",2)+J225+IF($M$85="x",1)+IF($M$113="x",1)+IF($M$120="x",2)+IF($M$119="x",2)+IF($M$105="x",1)+IF($M$110="x",1)+IF($M$111="x",2)+IF($M$112="x",4)+IF($M$108="x",1)-IF($M$109="x",1)-IF($M$99="x",1)+IF($M$90="x",1),
$B$3&lt;11,
SUM($C$3,$I$3)+IF(H229="x",1)+$I$16-$B$10+$M$94+IF($C$77="x",2)-IF($C$78="x",4)-IF($I$78="x",1)-IF($I$77="x",2)-IF($I$90="x",2)+IF($I$83="x",2)-IF($C$76="x",4)-$C$112+IF(H225="x",1)+I225+$M$77+IF(H227="x",1)+IF(J227="x",1)+IF($M$76="x",2)+J225+IF($M$85="x",1)+IF($M$113="x",1)+IF($M$120="x",2)+IF($M$119="x",2)+IF($M$105="x",1)+IF($M$110="x",1)+IF($M$111="x",2)+IF($M$112="x",4)+IF($M$108="x",1)-IF($M$109="x",1)-IF($M$99="x",1)+IF($M$90="x",1)
&amp;"/"&amp;SUM($C$3,$I$3)+IF(H229="x",1)+$I$16-$B$10+$M$94+IF($C$77="x",2)-IF($C$78="x",4)-IF($I$78="x",1)-IF($I$77="x",2)-IF($I$90="x",2)+IF($I$83="x",2)-IF($C$76="x",4)-$C$112+IF(H225="x",1)+I225+$M$77+IF(H227="x",1)+IF(J227="x",1)+IF($M$76="x",2)+J225+IF($M$85="x",1)+IF($M$113="x",1)+IF($M$120="x",2)+IF($M$119="x",2)+IF($M$105="x",1)+IF($M$110="x",1)+IF($M$111="x",2)+IF($M$112="x",4)+IF($M$108="x",1)-IF($M$109="x",1)-IF($M$99="x",1)+IF($M$90="x",1)-5,
$B$3&lt;16,
SUM($C$3,$I$3)+IF(H229="x",1)+$I$16-$B$10+$M$94+IF($C$77="x",2)-IF($C$78="x",4)-IF($I$78="x",1)-IF($I$77="x",2)-IF($I$90="x",2)+IF($I$83="x",2)-IF($C$76="x",4)-$C$112+IF(H225="x",1)+I225+$M$77+IF(H227="x",1)+IF(J227="x",1)+IF($M$76="x",2)+J225+IF($M$85="x",1)+IF($M$113="x",1)+IF($M$120="x",2)+IF($M$119="x",2)+IF($M$105="x",1)+IF($M$110="x",1)+IF($M$111="x",2)+IF($M$112="x",4)+IF($M$108="x",1)-IF($M$109="x",1)-IF($M$99="x",1)+IF($M$90="x",1)
&amp;"/"&amp;SUM($C$3,$I$3)+IF(H229="x",1)+$I$16-$B$10+$M$94+IF($C$77="x",2)-IF($C$78="x",4)-IF($I$78="x",1)-IF($I$77="x",2)-IF($I$90="x",2)+IF($I$83="x",2)-IF($C$76="x",4)-$C$112+IF(H225="x",1)+I225+$M$77+IF(H227="x",1)+IF(J227="x",1)+IF($M$76="x",2)+J225+IF($M$85="x",1)+IF($M$113="x",1)+IF($M$120="x",2)+IF($M$119="x",2)+IF($M$105="x",1)+IF($M$110="x",1)+IF($M$111="x",2)+IF($M$112="x",4)+IF($M$108="x",1)-IF($M$109="x",1)-IF($M$99="x",1)+IF($M$90="x",1)-5
&amp;"/"&amp;SUM($C$3,$I$3)+IF(H229="x",1)+$I$16-$B$10+$M$94+IF($C$77="x",2)-IF($C$78="x",4)-IF($I$78="x",1)-IF($I$77="x",2)-IF($I$90="x",2)+IF($I$83="x",2)-IF($C$76="x",4)-$C$112+IF(H225="x",1)+I225+$M$77+IF(H227="x",1)+IF(J227="x",1)+IF($M$76="x",2)+J225+IF($M$85="x",1)+IF($M$113="x",1)+IF($M$120="x",2)+IF($M$119="x",2)+IF($M$105="x",1)+IF($M$110="x",1)+IF($M$111="x",2)+IF($M$112="x",4)+IF($M$108="x",1)-IF($M$109="x",1)-IF($M$99="x",1)+IF($M$90="x",1)-10,
$B$3&gt;=16,
SUM($C$3,$I$3)+IF(H229="x",1)+$I$16-$B$10+$M$94+IF($C$77="x",2)-IF($C$78="x",4)-IF($I$78="x",1)-IF($I$77="x",2)-IF($I$90="x",2)+IF($I$83="x",2)-IF($C$76="x",4)-$C$112+IF(H225="x",1)+I225+$M$77+IF(H227="x",1)+IF(J227="x",1)+IF($M$76="x",2)+J225+IF($M$85="x",1)+IF($M$113="x",1)+IF($M$120="x",2)+IF($M$119="x",2)+IF($M$105="x",1)+IF($M$110="x",1)+IF($M$111="x",2)+IF($M$112="x",4)+IF($M$108="x",1)-IF($M$109="x",1)-IF($M$99="x",1)+IF($M$90="x",1)
&amp;"/"&amp;SUM($C$3,$I$3)+IF(H229="x",1)+$I$16-$B$10+$M$94+IF($C$77="x",2)-IF($C$78="x",4)-IF($I$78="x",1)-IF($I$77="x",2)-IF($I$90="x",2)+IF($I$83="x",2)-IF($C$76="x",4)-$C$112+IF(H225="x",1)+I225+$M$77+IF(H227="x",1)+IF(J227="x",1)+IF($M$76="x",2)+J225+IF($M$85="x",1)+IF($M$113="x",1)+IF($M$120="x",2)+IF($M$119="x",2)+IF($M$105="x",1)+IF($M$110="x",1)+IF($M$111="x",2)+IF($M$112="x",4)+IF($M$108="x",1)-IF($M$109="x",1)-IF($M$99="x",1)+IF($M$90="x",1)-5
&amp;"/"&amp;SUM($C$3,$I$3)+IF(H229="x",1)+$I$16-$B$10+$M$94+IF($C$77="x",2)-IF($C$78="x",4)-IF($I$78="x",1)-IF($I$77="x",2)-IF($I$90="x",2)+IF($I$83="x",2)-IF($C$76="x",4)-$C$112+IF(H225="x",1)+I225+$M$77+IF(H227="x",1)+IF(J227="x",1)+IF($M$76="x",2)+J225+IF($M$85="x",1)+IF($M$113="x",1)+IF($M$120="x",2)+IF($M$119="x",2)+IF($M$105="x",1)+IF($M$110="x",1)+IF($M$111="x",2)+IF($M$112="x",4)+IF($M$108="x",1)-IF($M$109="x",1)-IF($M$99="x",1)+IF($M$90="x",1)-10
&amp;"/"&amp;SUM($C$3,$I$3)+IF(H229="x",1)+$I$16-$B$10+$M$94+IF($C$77="x",2)-IF($C$78="x",4)-IF($I$78="x",1)-IF($I$77="x",2)-IF($I$90="x",2)+IF($I$83="x",2)-IF($C$76="x",4)-$C$112+IF(H225="x",1)+I225+$M$77+IF(H227="x",1)+IF(J227="x",1)+IF($M$76="x",2)+J225+IF($M$85="x",1)+IF($M$113="x",1)+IF($M$120="x",2)+IF($M$119="x",2)+IF($M$105="x",1)+IF($M$110="x",1)+IF($M$111="x",2)+IF($M$112="x",4)+IF($M$108="x",1)-IF($M$109="x",1)-IF($M$99="x",1)+IF($M$90="x",1)-15)</f>
        <v>0</v>
      </c>
      <c r="C231" s="49" t="str">
        <f>_xlfn.IFS($C$7="Minimaalinen","–",$C$7="Taskukokoinen","1",$C$7="Hyvin pieni","1n2",$C$7="Pieni","1n3",$C$7="Keskikokoinen","1n4",$C$7="Iso","1n6",$C$7="Valtava","1n8",$C$7="Suunnaton","2n6",$C$7="Giganttinen","3n6")</f>
        <v>1n4</v>
      </c>
      <c r="D231" s="51">
        <f>SUM($I$2+$C$120)+I225+$M$77+IF(I227="x",2)+IF(K227="x",2)+IF($M$119="x",2)+IF($M$108="x",1)+$M$94-IF($M$109="x",1)+K225+IF(H229="x",1)</f>
        <v>0</v>
      </c>
      <c r="E231" s="49" t="str">
        <f>_xlfn.IFS($C$7="Minimaalinen","–",$C$7="Taskukokoinen","2",$C$7="Hyvin pieni","2n2",$C$7="Pieni","2n3",$C$7="Keskikokoinen","2n4",$C$7="Iso","2n6",$C$7="Valtava","2n8",$C$7="Suunnaton","4n6",$C$7="Giganttinen","6n6")</f>
        <v>2n4</v>
      </c>
      <c r="F231" s="82">
        <f>SUM(D231*2)</f>
        <v>0</v>
      </c>
      <c r="G231" s="82" t="str">
        <f>(IF($I$89="x","50 %","")&amp;(IF($C$81="x","20 %",""))&amp;(IF($C$82="x","50 %","")))</f>
        <v/>
      </c>
      <c r="H231" s="25"/>
      <c r="I231" s="25"/>
      <c r="J231" s="25"/>
      <c r="K231" s="25"/>
      <c r="AB231" s="59"/>
      <c r="AC231" s="51"/>
      <c r="AD231" s="61"/>
      <c r="AE231" s="63"/>
      <c r="AF231" s="61"/>
      <c r="AG231" s="61"/>
      <c r="AH231" s="49"/>
      <c r="AI231" s="57"/>
      <c r="AJ231" s="57"/>
      <c r="AK231" s="57"/>
      <c r="AL231" s="57"/>
    </row>
    <row r="232" spans="1:38" x14ac:dyDescent="0.2">
      <c r="A232" s="127">
        <f>A231*2</f>
        <v>40</v>
      </c>
      <c r="B232" s="123">
        <f>_xlfn.IFS($I$85="x",
"PAINISSA",
$C$106="",
SUM($C$3,$I$3)+IF(H229="x",1)+$I$16-$B$10+$M$94+IF($C$77="x",2)-IF($C$78="x",4)-IF($I$78="x",1)-IF($I$77="x",2)-IF($I$90="x",2)+IF($I$83="x",2)-IF($C$76="x",4)-$C$112+IF(H225="x",1)+I225+$M$77+IF(H227="x",1)+IF(J227="x",1)+IF($M$76="x",2)+J225+IF($M$85="x",1)+IF($M$113="x",1)+IF($M$120="x",2)+IF($M$119="x",2)+IF($M$105="x",1)+IF($M$110="x",1)+IF($M$111="x",2)+IF($M$112="x",4)+IF($M$108="x",1)-IF($M$109="x",1)-IF($M$99="x",1)+IF($M$90="x",1)-2,
$B$3&lt;6,
SUM($C$3,$I$3)+IF(H229="x",1)+$I$16-$B$10+$M$94+IF($C$77="x",2)-IF($C$78="x",4)-IF($I$78="x",1)-IF($I$77="x",2)-IF($I$90="x",2)+IF($I$83="x",2)-IF($C$76="x",4)-$C$112+IF(H225="x",1)+I225+$M$77+IF(H227="x",1)+IF(J227="x",1)+IF($M$76="x",2)+J225+IF($M$85="x",1)+IF($M$113="x",1)+IF($M$120="x",2)+IF($M$119="x",2)+IF($M$105="x",1)+IF($M$110="x",1)+IF($M$111="x",2)+IF($M$112="x",4)+IF($M$108="x",1)-IF($M$109="x",1)-IF($M$99="x",1)+IF($M$90="x",1)-2,
$B$3&lt;11,
SUM($C$3,$I$3)+IF(H229="x",1)+$I$16-$B$10+$M$94+IF($C$77="x",2)-IF($C$78="x",4)-IF($I$78="x",1)-IF($I$77="x",2)-IF($I$90="x",2)+IF($I$83="x",2)-IF($C$76="x",4)-$C$112+IF(H225="x",1)+I225+$M$77+IF(H227="x",1)+IF(J227="x",1)+IF($M$76="x",2)+J225+IF($M$85="x",1)+IF($M$113="x",1)+IF($M$120="x",2)+IF($M$119="x",2)+IF($M$105="x",1)+IF($M$110="x",1)+IF($M$111="x",2)+IF($M$112="x",4)+IF($M$108="x",1)-IF($M$109="x",1)-IF($M$99="x",1)+IF($M$90="x",1)-2
&amp;"/"&amp;SUM($C$3,$I$3)+IF(H229="x",1)+$I$16-$B$10+$M$94+IF($C$77="x",2)-IF($C$78="x",4)-IF($I$78="x",1)-IF($I$77="x",2)-IF($I$90="x",2)+IF($I$83="x",2)-IF($C$76="x",4)-$C$112+IF(H225="x",1)+I225+$M$77+IF(H227="x",1)+IF(J227="x",1)+IF($M$76="x",2)+J225+IF($M$85="x",1)+IF($M$113="x",1)+IF($M$120="x",2)+IF($M$119="x",2)+IF($M$105="x",1)+IF($M$110="x",1)+IF($M$111="x",2)+IF($M$112="x",4)+IF($M$108="x",1)-IF($M$109="x",1)-IF($M$99="x",1)+IF($M$90="x",1)-5-2,
$B$3&lt;16,
SUM($C$3,$I$3)+IF(H229="x",1)+$I$16-$B$10+$M$94+IF($C$77="x",2)-IF($C$78="x",4)-IF($I$78="x",1)-IF($I$77="x",2)-IF($I$90="x",2)+IF($I$83="x",2)-IF($C$76="x",4)-$C$112+IF(H225="x",1)+I225+$M$77+IF(H227="x",1)+IF(J227="x",1)+IF($M$76="x",2)+J225+IF($M$85="x",1)+IF($M$113="x",1)+IF($M$120="x",2)+IF($M$119="x",2)+IF($M$105="x",1)+IF($M$110="x",1)+IF($M$111="x",2)+IF($M$112="x",4)+IF($M$108="x",1)-IF($M$109="x",1)-IF($M$99="x",1)+IF($M$90="x",1)-2
&amp;"/"&amp;SUM($C$3,$I$3)+IF(H229="x",1)+$I$16-$B$10+$M$94+IF($C$77="x",2)-IF($C$78="x",4)-IF($I$78="x",1)-IF($I$77="x",2)-IF($I$90="x",2)+IF($I$83="x",2)-IF($C$76="x",4)-$C$112+IF(H225="x",1)+I225+$M$77+IF(H227="x",1)+IF(J227="x",1)+IF($M$76="x",2)+J225+IF($M$85="x",1)+IF($M$113="x",1)+IF($M$120="x",2)+IF($M$119="x",2)+IF($M$105="x",1)+IF($M$110="x",1)+IF($M$111="x",2)+IF($M$112="x",4)+IF($M$108="x",1)-IF($M$109="x",1)-IF($M$99="x",1)+IF($M$90="x",1)-5-2
&amp;"/"&amp;SUM($C$3,$I$3)+IF(H229="x",1)+$I$16-$B$10+$M$94+IF($C$77="x",2)-IF($C$78="x",4)-IF($I$78="x",1)-IF($I$77="x",2)-IF($I$90="x",2)+IF($I$83="x",2)-IF($C$76="x",4)-$C$112+IF(H225="x",1)+I225+$M$77+IF(H227="x",1)+IF(J227="x",1)+IF($M$76="x",2)+J225+IF($M$85="x",1)+IF($M$113="x",1)+IF($M$120="x",2)+IF($M$119="x",2)+IF($M$105="x",1)+IF($M$110="x",1)+IF($M$111="x",2)+IF($M$112="x",4)+IF($M$108="x",1)-IF($M$109="x",1)-IF($M$99="x",1)+IF($M$90="x",1)-10-2,
$B$3&gt;=16,
SUM($C$3,$I$3)+IF(H229="x",1)+$I$16-$B$10+$M$94+IF($C$77="x",2)-IF($C$78="x",4)-IF($I$78="x",1)-IF($I$77="x",2)-IF($I$90="x",2)+IF($I$83="x",2)-IF($C$76="x",4)-$C$112+IF(H225="x",1)+I225+$M$77+IF(H227="x",1)+IF(J227="x",1)+IF($M$76="x",2)+J225+IF($M$85="x",1)+IF($M$113="x",1)+IF($M$120="x",2)+IF($M$119="x",2)+IF($M$105="x",1)+IF($M$110="x",1)+IF($M$111="x",2)+IF($M$112="x",4)+IF($M$108="x",1)-IF($M$109="x",1)-IF($M$99="x",1)+IF($M$90="x",1)-2
&amp;"/"&amp;SUM($C$3,$I$3)+IF(H229="x",1)+$I$16-$B$10+$M$94+IF($C$77="x",2)-IF($C$78="x",4)-IF($I$78="x",1)-IF($I$77="x",2)-IF($I$90="x",2)+IF($I$83="x",2)-IF($C$76="x",4)-$C$112+IF(H225="x",1)+I225+$M$77+IF(H227="x",1)+IF(J227="x",1)+IF($M$76="x",2)+J225+IF($M$85="x",1)+IF($M$113="x",1)+IF($M$120="x",2)+IF($M$119="x",2)+IF($M$105="x",1)+IF($M$110="x",1)+IF($M$111="x",2)+IF($M$112="x",4)+IF($M$108="x",1)-IF($M$109="x",1)-IF($M$99="x",1)+IF($M$90="x",1)-5-2
&amp;"/"&amp;SUM($C$3,$I$3)+IF(H229="x",1)+$I$16-$B$10+$M$94+IF($C$77="x",2)-IF($C$78="x",4)-IF($I$78="x",1)-IF($I$77="x",2)-IF($I$90="x",2)+IF($I$83="x",2)-IF($C$76="x",4)-$C$112+IF(H225="x",1)+I225+$M$77+IF(H227="x",1)+IF(J227="x",1)+IF($M$76="x",2)+J225+IF($M$85="x",1)+IF($M$113="x",1)+IF($M$120="x",2)+IF($M$119="x",2)+IF($M$105="x",1)+IF($M$110="x",1)+IF($M$111="x",2)+IF($M$112="x",4)+IF($M$108="x",1)-IF($M$109="x",1)-IF($M$99="x",1)+IF($M$90="x",1)-10-2
&amp;"/"&amp;SUM($C$3,$I$3)+IF(H229="x",1)+$I$16-$B$10+$M$94+IF($C$77="x",2)-IF($C$78="x",4)-IF($I$78="x",1)-IF($I$77="x",2)-IF($I$90="x",2)+IF($I$83="x",2)-IF($C$76="x",4)-$C$112+IF(H225="x",1)+I225+$M$77+IF(H227="x",1)+IF(J227="x",1)+IF($M$76="x",2)+J225+IF($M$85="x",1)+IF($M$113="x",1)+IF($M$120="x",2)+IF($M$119="x",2)+IF($M$105="x",1)+IF($M$110="x",1)+IF($M$111="x",2)+IF($M$112="x",4)+IF($M$108="x",1)-IF($M$109="x",1)-IF($M$99="x",1)+IF($M$90="x",1)-15-2)</f>
        <v>-2</v>
      </c>
      <c r="C232" s="82"/>
      <c r="D232" s="121"/>
      <c r="E232" s="82"/>
      <c r="F232" s="82"/>
      <c r="G232" s="123" t="str">
        <f>(IF($I$89="x","50 %","")&amp;(IF($C$81="x","20 %",""))&amp;(IF($C$82="x","50 %","")))</f>
        <v/>
      </c>
      <c r="H232" s="25"/>
      <c r="I232" s="25"/>
      <c r="J232" s="25"/>
      <c r="K232" s="25"/>
    </row>
    <row r="233" spans="1:38" x14ac:dyDescent="0.2">
      <c r="A233" s="126">
        <f>A231*3</f>
        <v>60</v>
      </c>
      <c r="B233" s="121">
        <f>_xlfn.IFS($I$85="x",
"PAINISSA",
$C$106="",
SUM($C$3,$I$3)+IF(H229="x",1)+$I$16-$B$10+$M$94+IF($C$77="x",2)-IF($C$78="x",4)-IF($I$78="x",1)-IF($I$77="x",2)-IF($I$90="x",2)+IF($I$83="x",2)-IF($C$76="x",4)-$C$112+IF(H225="x",1)+I225+$M$77+IF(H227="x",1)+IF(J227="x",1)+IF($M$76="x",2)+J225+IF($M$85="x",1)+IF($M$113="x",1)+IF($M$120="x",2)+IF($M$119="x",2)+IF($M$105="x",1)+IF($M$110="x",1)+IF($M$111="x",2)+IF($M$112="x",4)+IF($M$108="x",1)-IF($M$109="x",1)-IF($M$99="x",1)+IF($M$90="x",1)-4,
$B$3&lt;6,
SUM($C$3,$I$3)+IF(H229="x",1)+$I$16-$B$10+$M$94+IF($C$77="x",2)-IF($C$78="x",4)-IF($I$78="x",1)-IF($I$77="x",2)-IF($I$90="x",2)+IF($I$83="x",2)-IF($C$76="x",4)-$C$112+IF(H225="x",1)+I225+$M$77+IF(H227="x",1)+IF(J227="x",1)+IF($M$76="x",2)+J225+IF($M$85="x",1)+IF($M$113="x",1)+IF($M$120="x",2)+IF($M$119="x",2)+IF($M$105="x",1)+IF($M$110="x",1)+IF($M$111="x",2)+IF($M$112="x",4)+IF($M$108="x",1)-IF($M$109="x",1)-IF($M$99="x",1)+IF($M$90="x",1)-4,
$B$3&lt;11,
SUM($C$3,$I$3)+IF(H229="x",1)+$I$16-$B$10+$M$94+IF($C$77="x",2)-IF($C$78="x",4)-IF($I$78="x",1)-IF($I$77="x",2)-IF($I$90="x",2)+IF($I$83="x",2)-IF($C$76="x",4)-$C$112+IF(H225="x",1)+I225+$M$77+IF(H227="x",1)+IF(J227="x",1)+IF($M$76="x",2)+J225+IF($M$85="x",1)+IF($M$113="x",1)+IF($M$120="x",2)+IF($M$119="x",2)+IF($M$105="x",1)+IF($M$110="x",1)+IF($M$111="x",2)+IF($M$112="x",4)+IF($M$108="x",1)-IF($M$109="x",1)-IF($M$99="x",1)+IF($M$90="x",1)-4
&amp;"/"&amp;SUM($C$3,$I$3)+IF(H229="x",1)+$I$16-$B$10+$M$94+IF($C$77="x",2)-IF($C$78="x",4)-IF($I$78="x",1)-IF($I$77="x",2)-IF($I$90="x",2)+IF($I$83="x",2)-IF($C$76="x",4)-$C$112+IF(H225="x",1)+I225+$M$77+IF(H227="x",1)+IF(J227="x",1)+IF($M$76="x",2)+J225+IF($M$85="x",1)+IF($M$113="x",1)+IF($M$120="x",2)+IF($M$119="x",2)+IF($M$105="x",1)+IF($M$110="x",1)+IF($M$111="x",2)+IF($M$112="x",4)+IF($M$108="x",1)-IF($M$109="x",1)-IF($M$99="x",1)+IF($M$90="x",1)-5-4,
$B$3&lt;16,
SUM($C$3,$I$3)+IF(H229="x",1)+$I$16-$B$10+$M$94+IF($C$77="x",2)-IF($C$78="x",4)-IF($I$78="x",1)-IF($I$77="x",2)-IF($I$90="x",2)+IF($I$83="x",2)-IF($C$76="x",4)-$C$112+IF(H225="x",1)+I225+$M$77+IF(H227="x",1)+IF(J227="x",1)+IF($M$76="x",2)+J225+IF($M$85="x",1)+IF($M$113="x",1)+IF($M$120="x",2)+IF($M$119="x",2)+IF($M$105="x",1)+IF($M$110="x",1)+IF($M$111="x",2)+IF($M$112="x",4)+IF($M$108="x",1)-IF($M$109="x",1)-IF($M$99="x",1)+IF($M$90="x",1)-4
&amp;"/"&amp;SUM($C$3,$I$3)+IF(H229="x",1)+$I$16-$B$10+$M$94+IF($C$77="x",2)-IF($C$78="x",4)-IF($I$78="x",1)-IF($I$77="x",2)-IF($I$90="x",2)+IF($I$83="x",2)-IF($C$76="x",4)-$C$112+IF(H225="x",1)+I225+$M$77+IF(H227="x",1)+IF(J227="x",1)+IF($M$76="x",2)+J225+IF($M$85="x",1)+IF($M$113="x",1)+IF($M$120="x",2)+IF($M$119="x",2)+IF($M$105="x",1)+IF($M$110="x",1)+IF($M$111="x",2)+IF($M$112="x",4)+IF($M$108="x",1)-IF($M$109="x",1)-IF($M$99="x",1)+IF($M$90="x",1)-5-4
&amp;"/"&amp;SUM($C$3,$I$3)+IF(H229="x",1)+$I$16-$B$10+$M$94+IF($C$77="x",2)-IF($C$78="x",4)-IF($I$78="x",1)-IF($I$77="x",2)-IF($I$90="x",2)+IF($I$83="x",2)-IF($C$76="x",4)-$C$112+IF(H225="x",1)+I225+$M$77+IF(H227="x",1)+IF(J227="x",1)+IF($M$76="x",2)+J225+IF($M$85="x",1)+IF($M$113="x",1)+IF($M$120="x",2)+IF($M$119="x",2)+IF($M$105="x",1)+IF($M$110="x",1)+IF($M$111="x",2)+IF($M$112="x",4)+IF($M$108="x",1)-IF($M$109="x",1)-IF($M$99="x",1)+IF($M$90="x",1)-10-4,
$B$3&gt;=16,
SUM($C$3,$I$3)+IF(H229="x",1)+$I$16-$B$10+$M$94+IF($C$77="x",2)-IF($C$78="x",4)-IF($I$78="x",1)-IF($I$77="x",2)-IF($I$90="x",2)+IF($I$83="x",2)-IF($C$76="x",4)-$C$112+IF(H225="x",1)+I225+$M$77+IF(H227="x",1)+IF(J227="x",1)+IF($M$76="x",2)+J225+IF($M$85="x",1)+IF($M$113="x",1)+IF($M$120="x",2)+IF($M$119="x",2)+IF($M$105="x",1)+IF($M$110="x",1)+IF($M$111="x",2)+IF($M$112="x",4)+IF($M$108="x",1)-IF($M$109="x",1)-IF($M$99="x",1)+IF($M$90="x",1)-4
&amp;"/"&amp;SUM($C$3,$I$3)+IF(H229="x",1)+$I$16-$B$10+$M$94+IF($C$77="x",2)-IF($C$78="x",4)-IF($I$78="x",1)-IF($I$77="x",2)-IF($I$90="x",2)+IF($I$83="x",2)-IF($C$76="x",4)-$C$112+IF(H225="x",1)+I225+$M$77+IF(H227="x",1)+IF(J227="x",1)+IF($M$76="x",2)+J225+IF($M$85="x",1)+IF($M$113="x",1)+IF($M$120="x",2)+IF($M$119="x",2)+IF($M$105="x",1)+IF($M$110="x",1)+IF($M$111="x",2)+IF($M$112="x",4)+IF($M$108="x",1)-IF($M$109="x",1)-IF($M$99="x",1)+IF($M$90="x",1)-5-4
&amp;"/"&amp;SUM($C$3,$I$3)+IF(H229="x",1)+$I$16-$B$10+$M$94+IF($C$77="x",2)-IF($C$78="x",4)-IF($I$78="x",1)-IF($I$77="x",2)-IF($I$90="x",2)+IF($I$83="x",2)-IF($C$76="x",4)-$C$112+IF(H225="x",1)+I225+$M$77+IF(H227="x",1)+IF(J227="x",1)+IF($M$76="x",2)+J225+IF($M$85="x",1)+IF($M$113="x",1)+IF($M$120="x",2)+IF($M$119="x",2)+IF($M$105="x",1)+IF($M$110="x",1)+IF($M$111="x",2)+IF($M$112="x",4)+IF($M$108="x",1)-IF($M$109="x",1)-IF($M$99="x",1)+IF($M$90="x",1)-10-4
&amp;"/"&amp;SUM($C$3,$I$3)+IF(H229="x",1)+$I$16-$B$10+$M$94+IF($C$77="x",2)-IF($C$78="x",4)-IF($I$78="x",1)-IF($I$77="x",2)-IF($I$90="x",2)+IF($I$83="x",2)-IF($C$76="x",4)-$C$112+IF(H225="x",1)+I225+$M$77+IF(H227="x",1)+IF(J227="x",1)+IF($M$76="x",2)+J225+IF($M$85="x",1)+IF($M$113="x",1)+IF($M$120="x",2)+IF($M$119="x",2)+IF($M$105="x",1)+IF($M$110="x",1)+IF($M$111="x",2)+IF($M$112="x",4)+IF($M$108="x",1)-IF($M$109="x",1)-IF($M$99="x",1)+IF($M$90="x",1)-15-4)</f>
        <v>-4</v>
      </c>
      <c r="C233" s="82"/>
      <c r="D233" s="121"/>
      <c r="E233" s="82"/>
      <c r="F233" s="82"/>
      <c r="G233" s="82" t="str">
        <f>(IF($I$89="x","50 %","")&amp;(IF($C$81="x","20 %",""))&amp;(IF($C$82="x","50 %","")))</f>
        <v/>
      </c>
      <c r="H233" s="15"/>
      <c r="I233" s="15"/>
    </row>
    <row r="234" spans="1:38" x14ac:dyDescent="0.2">
      <c r="A234" s="127">
        <f>A231*4</f>
        <v>80</v>
      </c>
      <c r="B234" s="123">
        <f>_xlfn.IFS($I$85="x",
"PAINISSA",
$C$106="",
SUM($C$3,$I$3)+IF(H229="x",1)+$I$16-$B$10+$M$94+IF($C$77="x",2)-IF($C$78="x",4)-IF($I$78="x",1)-IF($I$77="x",2)-IF($I$90="x",2)+IF($I$83="x",2)-IF($C$76="x",4)-$C$112+IF(H225="x",1)+I225+$M$77+IF(H227="x",1)+IF(J227="x",1)+IF($M$76="x",2)+J225+IF($M$85="x",1)+IF($M$113="x",1)+IF($M$120="x",2)+IF($M$119="x",2)+IF($M$105="x",1)+IF($M$110="x",1)+IF($M$111="x",2)+IF($M$112="x",4)+IF($M$108="x",1)-IF($M$109="x",1)-IF($M$99="x",1)+IF($M$90="x",1)-6,
$B$3&lt;6,
SUM($C$3,$I$3)+IF(H229="x",1)+$I$16-$B$10+$M$94+IF($C$77="x",2)-IF($C$78="x",4)-IF($I$78="x",1)-IF($I$77="x",2)-IF($I$90="x",2)+IF($I$83="x",2)-IF($C$76="x",4)-$C$112+IF(H225="x",1)+I225+$M$77+IF(H227="x",1)+IF(J227="x",1)+IF($M$76="x",2)+J225+IF($M$85="x",1)+IF($M$113="x",1)+IF($M$120="x",2)+IF($M$119="x",2)+IF($M$105="x",1)+IF($M$110="x",1)+IF($M$111="x",2)+IF($M$112="x",4)+IF($M$108="x",1)-IF($M$109="x",1)-IF($M$99="x",1)+IF($M$90="x",1)-6,
$B$3&lt;11,
SUM($C$3,$I$3)+IF(H229="x",1)+$I$16-$B$10+$M$94+IF($C$77="x",2)-IF($C$78="x",4)-IF($I$78="x",1)-IF($I$77="x",2)-IF($I$90="x",2)+IF($I$83="x",2)-IF($C$76="x",4)-$C$112+IF(H225="x",1)+I225+$M$77+IF(H227="x",1)+IF(J227="x",1)+IF($M$76="x",2)+J225+IF($M$85="x",1)+IF($M$113="x",1)+IF($M$120="x",2)+IF($M$119="x",2)+IF($M$105="x",1)+IF($M$110="x",1)+IF($M$111="x",2)+IF($M$112="x",4)+IF($M$108="x",1)-IF($M$109="x",1)-IF($M$99="x",1)+IF($M$90="x",1)-6
&amp;"/"&amp;SUM($C$3,$I$3)+IF(H229="x",1)+$I$16-$B$10+$M$94+IF($C$77="x",2)-IF($C$78="x",4)-IF($I$78="x",1)-IF($I$77="x",2)-IF($I$90="x",2)+IF($I$83="x",2)-IF($C$76="x",4)-$C$112+IF(H225="x",1)+I225+$M$77+IF(H227="x",1)+IF(J227="x",1)+IF($M$76="x",2)+J225+IF($M$85="x",1)+IF($M$113="x",1)+IF($M$120="x",2)+IF($M$119="x",2)+IF($M$105="x",1)+IF($M$110="x",1)+IF($M$111="x",2)+IF($M$112="x",4)+IF($M$108="x",1)-IF($M$109="x",1)-IF($M$99="x",1)+IF($M$90="x",1)-5-6,
$B$3&lt;16,
SUM($C$3,$I$3)+IF(H229="x",1)+$I$16-$B$10+$M$94+IF($C$77="x",2)-IF($C$78="x",4)-IF($I$78="x",1)-IF($I$77="x",2)-IF($I$90="x",2)+IF($I$83="x",2)-IF($C$76="x",4)-$C$112+IF(H225="x",1)+I225+$M$77+IF(H227="x",1)+IF(J227="x",1)+IF($M$76="x",2)+J225+IF($M$85="x",1)+IF($M$113="x",1)+IF($M$120="x",2)+IF($M$119="x",2)+IF($M$105="x",1)+IF($M$110="x",1)+IF($M$111="x",2)+IF($M$112="x",4)+IF($M$108="x",1)-IF($M$109="x",1)-IF($M$99="x",1)+IF($M$90="x",1)-6
&amp;"/"&amp;SUM($C$3,$I$3)+IF(H229="x",1)+$I$16-$B$10+$M$94+IF($C$77="x",2)-IF($C$78="x",4)-IF($I$78="x",1)-IF($I$77="x",2)-IF($I$90="x",2)+IF($I$83="x",2)-IF($C$76="x",4)-$C$112+IF(H225="x",1)+I225+$M$77+IF(H227="x",1)+IF(J227="x",1)+IF($M$76="x",2)+J225+IF($M$85="x",1)+IF($M$113="x",1)+IF($M$120="x",2)+IF($M$119="x",2)+IF($M$105="x",1)+IF($M$110="x",1)+IF($M$111="x",2)+IF($M$112="x",4)+IF($M$108="x",1)-IF($M$109="x",1)-IF($M$99="x",1)+IF($M$90="x",1)-5-6
&amp;"/"&amp;SUM($C$3,$I$3)+IF(H229="x",1)+$I$16-$B$10+$M$94+IF($C$77="x",2)-IF($C$78="x",4)-IF($I$78="x",1)-IF($I$77="x",2)-IF($I$90="x",2)+IF($I$83="x",2)-IF($C$76="x",4)-$C$112+IF(H225="x",1)+I225+$M$77+IF(H227="x",1)+IF(J227="x",1)+IF($M$76="x",2)+J225+IF($M$85="x",1)+IF($M$113="x",1)+IF($M$120="x",2)+IF($M$119="x",2)+IF($M$105="x",1)+IF($M$110="x",1)+IF($M$111="x",2)+IF($M$112="x",4)+IF($M$108="x",1)-IF($M$109="x",1)-IF($M$99="x",1)+IF($M$90="x",1)-10-6,
$B$3&gt;=16,
SUM($C$3,$I$3)+IF(H229="x",1)+$I$16-$B$10+$M$94+IF($C$77="x",2)-IF($C$78="x",4)-IF($I$78="x",1)-IF($I$77="x",2)-IF($I$90="x",2)+IF($I$83="x",2)-IF($C$76="x",4)-$C$112+IF(H225="x",1)+I225+$M$77+IF(H227="x",1)+IF(J227="x",1)+IF($M$76="x",2)+J225+IF($M$85="x",1)+IF($M$113="x",1)+IF($M$120="x",2)+IF($M$119="x",2)+IF($M$105="x",1)+IF($M$110="x",1)+IF($M$111="x",2)+IF($M$112="x",4)+IF($M$108="x",1)-IF($M$109="x",1)-IF($M$99="x",1)+IF($M$90="x",1)-6
&amp;"/"&amp;SUM($C$3,$I$3)+IF(H229="x",1)+$I$16-$B$10+$M$94+IF($C$77="x",2)-IF($C$78="x",4)-IF($I$78="x",1)-IF($I$77="x",2)-IF($I$90="x",2)+IF($I$83="x",2)-IF($C$76="x",4)-$C$112+IF(H225="x",1)+I225+$M$77+IF(H227="x",1)+IF(J227="x",1)+IF($M$76="x",2)+J225+IF($M$85="x",1)+IF($M$113="x",1)+IF($M$120="x",2)+IF($M$119="x",2)+IF($M$105="x",1)+IF($M$110="x",1)+IF($M$111="x",2)+IF($M$112="x",4)+IF($M$108="x",1)-IF($M$109="x",1)-IF($M$99="x",1)+IF($M$90="x",1)-5-6
&amp;"/"&amp;SUM($C$3,$I$3)+IF(H229="x",1)+$I$16-$B$10+$M$94+IF($C$77="x",2)-IF($C$78="x",4)-IF($I$78="x",1)-IF($I$77="x",2)-IF($I$90="x",2)+IF($I$83="x",2)-IF($C$76="x",4)-$C$112+IF(H225="x",1)+I225+$M$77+IF(H227="x",1)+IF(J227="x",1)+IF($M$76="x",2)+J225+IF($M$85="x",1)+IF($M$113="x",1)+IF($M$120="x",2)+IF($M$119="x",2)+IF($M$105="x",1)+IF($M$110="x",1)+IF($M$111="x",2)+IF($M$112="x",4)+IF($M$108="x",1)-IF($M$109="x",1)-IF($M$99="x",1)+IF($M$90="x",1)-10-6
&amp;"/"&amp;SUM($C$3,$I$3)+IF(H229="x",1)+$I$16-$B$10+$M$94+IF($C$77="x",2)-IF($C$78="x",4)-IF($I$78="x",1)-IF($I$77="x",2)-IF($I$90="x",2)+IF($I$83="x",2)-IF($C$76="x",4)-$C$112+IF(H225="x",1)+I225+$M$77+IF(H227="x",1)+IF(J227="x",1)+IF($M$76="x",2)+J225+IF($M$85="x",1)+IF($M$113="x",1)+IF($M$120="x",2)+IF($M$119="x",2)+IF($M$105="x",1)+IF($M$110="x",1)+IF($M$111="x",2)+IF($M$112="x",4)+IF($M$108="x",1)-IF($M$109="x",1)-IF($M$99="x",1)+IF($M$90="x",1)-15-6)</f>
        <v>-6</v>
      </c>
      <c r="C234" s="82"/>
      <c r="D234" s="121"/>
      <c r="E234" s="82"/>
      <c r="F234" s="82"/>
      <c r="G234" s="123" t="str">
        <f>(IF($I$89="x","50 %","")&amp;(IF($C$81="x","20 %",""))&amp;(IF($C$82="x","50 %","")))</f>
        <v/>
      </c>
      <c r="H234" s="15"/>
      <c r="I234" s="15"/>
      <c r="AB234" s="115"/>
      <c r="AC234" s="116"/>
      <c r="AD234" s="116"/>
      <c r="AE234" s="116"/>
      <c r="AF234" s="116"/>
      <c r="AG234" s="116"/>
      <c r="AH234" s="116"/>
      <c r="AI234" s="116"/>
      <c r="AJ234" s="116"/>
      <c r="AK234" s="116"/>
      <c r="AL234" s="116"/>
    </row>
    <row r="235" spans="1:38" x14ac:dyDescent="0.2">
      <c r="A235" s="126">
        <f>A231*5</f>
        <v>100</v>
      </c>
      <c r="B235" s="121">
        <f>_xlfn.IFS($I$85="x",
"PAINISSA",
$C$106="",
SUM($C$3,$I$3)+IF(H229="x",1)+$I$16-$B$10+$M$94+IF($C$77="x",2)-IF($C$78="x",4)-IF($I$78="x",1)-IF($I$77="x",2)-IF($I$90="x",2)+IF($I$83="x",2)-IF($C$76="x",4)-$C$112+IF(H225="x",1)+I225+$M$77+IF(H227="x",1)+IF(J227="x",1)+IF($M$76="x",2)+J225+IF($M$85="x",1)+IF($M$113="x",1)+IF($M$120="x",2)+IF($M$119="x",2)+IF($M$105="x",1)+IF($M$110="x",1)+IF($M$111="x",2)+IF($M$112="x",4)+IF($M$108="x",1)-IF($M$109="x",1)-IF($M$99="x",1)+IF($M$90="x",1)-8,
$B$3&lt;6,
SUM($C$3,$I$3)+IF(H229="x",1)+$I$16-$B$10+$M$94+IF($C$77="x",2)-IF($C$78="x",4)-IF($I$78="x",1)-IF($I$77="x",2)-IF($I$90="x",2)+IF($I$83="x",2)-IF($C$76="x",4)-$C$112+IF(H225="x",1)+I225+$M$77+IF(H227="x",1)+IF(J227="x",1)+IF($M$76="x",2)+J225+IF($M$85="x",1)+IF($M$113="x",1)+IF($M$120="x",2)+IF($M$119="x",2)+IF($M$105="x",1)+IF($M$110="x",1)+IF($M$111="x",2)+IF($M$112="x",4)+IF($M$108="x",1)-IF($M$109="x",1)-IF($M$99="x",1)+IF($M$90="x",1)-8,
$B$3&lt;11,
SUM($C$3,$I$3)+IF(H229="x",1)+$I$16-$B$10+$M$94+IF($C$77="x",2)-IF($C$78="x",4)-IF($I$78="x",1)-IF($I$77="x",2)-IF($I$90="x",2)+IF($I$83="x",2)-IF($C$76="x",4)-$C$112+IF(H225="x",1)+I225+$M$77+IF(H227="x",1)+IF(J227="x",1)+IF($M$76="x",2)+J225+IF($M$85="x",1)+IF($M$113="x",1)+IF($M$120="x",2)+IF($M$119="x",2)+IF($M$105="x",1)+IF($M$110="x",1)+IF($M$111="x",2)+IF($M$112="x",4)+IF($M$108="x",1)-IF($M$109="x",1)-IF($M$99="x",1)+IF($M$90="x",1)-8
&amp;"/"&amp;SUM($C$3,$I$3)+IF(H229="x",1)+$I$16-$B$10+$M$94+IF($C$77="x",2)-IF($C$78="x",4)-IF($I$78="x",1)-IF($I$77="x",2)-IF($I$90="x",2)+IF($I$83="x",2)-IF($C$76="x",4)-$C$112+IF(H225="x",1)+I225+$M$77+IF(H227="x",1)+IF(J227="x",1)+IF($M$76="x",2)+J225+IF($M$85="x",1)+IF($M$113="x",1)+IF($M$120="x",2)+IF($M$119="x",2)+IF($M$105="x",1)+IF($M$110="x",1)+IF($M$111="x",2)+IF($M$112="x",4)+IF($M$108="x",1)-IF($M$109="x",1)-IF($M$99="x",1)+IF($M$90="x",1)-5-8,
$B$3&lt;16,
SUM($C$3,$I$3)+IF(H229="x",1)+$I$16-$B$10+$M$94+IF($C$77="x",2)-IF($C$78="x",4)-IF($I$78="x",1)-IF($I$77="x",2)-IF($I$90="x",2)+IF($I$83="x",2)-IF($C$76="x",4)-$C$112+IF(H225="x",1)+I225+$M$77+IF(H227="x",1)+IF(J227="x",1)+IF($M$76="x",2)+J225+IF($M$85="x",1)+IF($M$113="x",1)+IF($M$120="x",2)+IF($M$119="x",2)+IF($M$105="x",1)+IF($M$110="x",1)+IF($M$111="x",2)+IF($M$112="x",4)+IF($M$108="x",1)-IF($M$109="x",1)-IF($M$99="x",1)+IF($M$90="x",1)-8
&amp;"/"&amp;SUM($C$3,$I$3)+IF(H229="x",1)+$I$16-$B$10+$M$94+IF($C$77="x",2)-IF($C$78="x",4)-IF($I$78="x",1)-IF($I$77="x",2)-IF($I$90="x",2)+IF($I$83="x",2)-IF($C$76="x",4)-$C$112+IF(H225="x",1)+I225+$M$77+IF(H227="x",1)+IF(J227="x",1)+IF($M$76="x",2)+J225+IF($M$85="x",1)+IF($M$113="x",1)+IF($M$120="x",2)+IF($M$119="x",2)+IF($M$105="x",1)+IF($M$110="x",1)+IF($M$111="x",2)+IF($M$112="x",4)+IF($M$108="x",1)-IF($M$109="x",1)-IF($M$99="x",1)+IF($M$90="x",1)-5-8
&amp;"/"&amp;SUM($C$3,$I$3)+IF(H229="x",1)+$I$16-$B$10+$M$94+IF($C$77="x",2)-IF($C$78="x",4)-IF($I$78="x",1)-IF($I$77="x",2)-IF($I$90="x",2)+IF($I$83="x",2)-IF($C$76="x",4)-$C$112+IF(H225="x",1)+I225+$M$77+IF(H227="x",1)+IF(J227="x",1)+IF($M$76="x",2)+J225+IF($M$85="x",1)+IF($M$113="x",1)+IF($M$120="x",2)+IF($M$119="x",2)+IF($M$105="x",1)+IF($M$110="x",1)+IF($M$111="x",2)+IF($M$112="x",4)+IF($M$108="x",1)-IF($M$109="x",1)-IF($M$99="x",1)+IF($M$90="x",1)-10-8,
$B$3&gt;=16,
SUM($C$3,$I$3)+IF(H229="x",1)+$I$16-$B$10+$M$94+IF($C$77="x",2)-IF($C$78="x",4)-IF($I$78="x",1)-IF($I$77="x",2)-IF($I$90="x",2)+IF($I$83="x",2)-IF($C$76="x",4)-$C$112+IF(H225="x",1)+I225+$M$77+IF(H227="x",1)+IF(J227="x",1)+IF($M$76="x",2)+J225+IF($M$85="x",1)+IF($M$113="x",1)+IF($M$120="x",2)+IF($M$119="x",2)+IF($M$105="x",1)+IF($M$110="x",1)+IF($M$111="x",2)+IF($M$112="x",4)+IF($M$108="x",1)-IF($M$109="x",1)-IF($M$99="x",1)+IF($M$90="x",1)-8
&amp;"/"&amp;SUM($C$3,$I$3)+IF(H229="x",1)+$I$16-$B$10+$M$94+IF($C$77="x",2)-IF($C$78="x",4)-IF($I$78="x",1)-IF($I$77="x",2)-IF($I$90="x",2)+IF($I$83="x",2)-IF($C$76="x",4)-$C$112+IF(H225="x",1)+I225+$M$77+IF(H227="x",1)+IF(J227="x",1)+IF($M$76="x",2)+J225+IF($M$85="x",1)+IF($M$113="x",1)+IF($M$120="x",2)+IF($M$119="x",2)+IF($M$105="x",1)+IF($M$110="x",1)+IF($M$111="x",2)+IF($M$112="x",4)+IF($M$108="x",1)-IF($M$109="x",1)-IF($M$99="x",1)+IF($M$90="x",1)-5-8
&amp;"/"&amp;SUM($C$3,$I$3)+IF(H229="x",1)+$I$16-$B$10+$M$94+IF($C$77="x",2)-IF($C$78="x",4)-IF($I$78="x",1)-IF($I$77="x",2)-IF($I$90="x",2)+IF($I$83="x",2)-IF($C$76="x",4)-$C$112+IF(H225="x",1)+I225+$M$77+IF(H227="x",1)+IF(J227="x",1)+IF($M$76="x",2)+J225+IF($M$85="x",1)+IF($M$113="x",1)+IF($M$120="x",2)+IF($M$119="x",2)+IF($M$105="x",1)+IF($M$110="x",1)+IF($M$111="x",2)+IF($M$112="x",4)+IF($M$108="x",1)-IF($M$109="x",1)-IF($M$99="x",1)+IF($M$90="x",1)-10-8
&amp;"/"&amp;SUM($C$3,$I$3)+IF(H229="x",1)+$I$16-$B$10+$M$94+IF($C$77="x",2)-IF($C$78="x",4)-IF($I$78="x",1)-IF($I$77="x",2)-IF($I$90="x",2)+IF($I$83="x",2)-IF($C$76="x",4)-$C$112+IF(H225="x",1)+I225+$M$77+IF(H227="x",1)+IF(J227="x",1)+IF($M$76="x",2)+J225+IF($M$85="x",1)+IF($M$113="x",1)+IF($M$120="x",2)+IF($M$119="x",2)+IF($M$105="x",1)+IF($M$110="x",1)+IF($M$111="x",2)+IF($M$112="x",4)+IF($M$108="x",1)-IF($M$109="x",1)-IF($M$99="x",1)+IF($M$90="x",1)-15-8)</f>
        <v>-8</v>
      </c>
      <c r="C235" s="82"/>
      <c r="D235" s="121"/>
      <c r="E235" s="82"/>
      <c r="F235" s="82"/>
      <c r="G235" s="82" t="str">
        <f>(IF($I$89="x","50 %","")&amp;(IF($C$81="x","20 %",""))&amp;(IF($C$82="x","50 %","")))</f>
        <v/>
      </c>
      <c r="H235" s="15"/>
      <c r="I235" s="15"/>
      <c r="AB235" s="57"/>
      <c r="AC235" s="40"/>
      <c r="AD235" s="49"/>
      <c r="AE235" s="117"/>
      <c r="AF235" s="49"/>
      <c r="AG235" s="40"/>
      <c r="AH235" s="40"/>
      <c r="AI235" s="40"/>
      <c r="AJ235" s="40"/>
      <c r="AK235" s="40"/>
      <c r="AL235" s="40"/>
    </row>
    <row r="236" spans="1:38" x14ac:dyDescent="0.2">
      <c r="B236" s="15"/>
      <c r="C236" s="15"/>
      <c r="D236" s="15"/>
      <c r="F236" s="15"/>
      <c r="G236" s="15"/>
      <c r="H236" s="15"/>
      <c r="I236" s="15"/>
      <c r="AB236" s="47"/>
      <c r="AC236" s="113"/>
      <c r="AD236" s="114"/>
      <c r="AE236" s="113"/>
      <c r="AF236" s="114"/>
      <c r="AG236" s="114"/>
      <c r="AH236" s="114"/>
      <c r="AI236" s="48"/>
      <c r="AJ236" s="48"/>
      <c r="AK236" s="48"/>
      <c r="AL236" s="48"/>
    </row>
    <row r="237" spans="1:38" x14ac:dyDescent="0.2">
      <c r="B237" s="15"/>
      <c r="C237" s="15"/>
      <c r="D237" s="15"/>
      <c r="F237" s="15"/>
      <c r="G237" s="15"/>
      <c r="H237" s="15"/>
      <c r="I237" s="15"/>
      <c r="AB237" s="56"/>
      <c r="AC237" s="51"/>
      <c r="AD237" s="49"/>
      <c r="AE237" s="51"/>
      <c r="AF237" s="49"/>
      <c r="AG237" s="40"/>
      <c r="AH237" s="49"/>
      <c r="AI237" s="40"/>
      <c r="AJ237" s="40"/>
      <c r="AK237" s="40"/>
      <c r="AL237" s="40"/>
    </row>
    <row r="238" spans="1:38" x14ac:dyDescent="0.2">
      <c r="A238" s="34" t="s">
        <v>281</v>
      </c>
      <c r="B238" s="11" t="s">
        <v>1</v>
      </c>
      <c r="C238" s="11" t="s">
        <v>2</v>
      </c>
      <c r="D238" s="11" t="s">
        <v>3</v>
      </c>
      <c r="E238" s="11" t="s">
        <v>229</v>
      </c>
      <c r="F238" s="11" t="s">
        <v>3</v>
      </c>
      <c r="G238" s="11" t="s">
        <v>45</v>
      </c>
      <c r="H238" s="14" t="s">
        <v>179</v>
      </c>
      <c r="I238" s="11" t="s">
        <v>242</v>
      </c>
      <c r="J238" s="11" t="s">
        <v>224</v>
      </c>
      <c r="K238" s="11" t="s">
        <v>225</v>
      </c>
      <c r="AB238" s="56"/>
      <c r="AC238" s="49"/>
      <c r="AD238" s="49"/>
      <c r="AE238" s="51"/>
      <c r="AF238" s="49"/>
      <c r="AG238" s="40"/>
      <c r="AH238" s="49"/>
      <c r="AI238" s="48"/>
    </row>
    <row r="239" spans="1:38" x14ac:dyDescent="0.2">
      <c r="A239" s="15" t="s">
        <v>219</v>
      </c>
      <c r="B239" s="12">
        <f>IF($I$85="x","PAINISSA",IF($C$3&lt;=5,SUM($C$3,$I$2)-$C$120+IF($C$75="x",2)+$I$16-$B$10+$M$94+IF($C$77="x",2)-IF($C$78="x",4)-IF($I$78="x",1)-IF($C$79="x",4)+IF($C$80="x",1)-IF($I$77="x",2)-IF($I$90="x",2)+IF($I$83="x",2)-IF($C$75="x",4)-$C$112+IF(H239="x",1)+I239+$M$77+IF(H241="x",1)+IF(J241="x",1)+IF($M$76="x",2)+J239+IF($M$85="x",1)+IF($M$113="x",1)+IF($M$120="x",2)+IF($M$119="x",2)+IF($M$105="x",1)+IF($M$110="x",1)+IF($M$111="x",2)+IF($M$112="x",4)+IF($M$108="x",1)-IF($M$109="x",1)-IF($M$99="x",1)+IF($M$90="x",1),
IF(AND($C$3&gt;5,$C$3&lt;11),SUM($C$3,$I$2)-$C$120+IF($C$75="x",2)+$I$16-$B$10+$M$94+IF($C$77="x",2)-IF($C$78="x",4)-IF($I$78="x",1)-IF($C$79="x",4)+IF($C$80="x",1)-IF($I$77="x",2)-IF($I$90="x",2)+IF($I$83="x",2)-IF($C$83="x",4)-$C$112+IF(H239="x",1)+I239+$M$77+IF(H241="x",1)+IF(J241="x",1)+IF($M$76="x",2)+J239+IF($M$85="x",1)+IF($M$113="x",1)+IF($M$120="x",2)+IF($M$119="x",2)+IF($M$105="x",1)+IF($M$110="x",1)+IF($M$111="x",2)+IF($M$112="x",4)+IF($M$108="x",1)-IF($M$109="x",1)-IF($M$99="x",1)+IF($M$90="x",1)
&amp;"/"&amp;SUM($C$3,$I$2)-$C$120+IF($C$75="x",2)+$I$16-$B$10+$M$94+IF($C$77="x",2)-IF($C$78="x",4)-IF($I$78="x",1)-IF($C$79="x",4)+IF($C$80="x",1)-IF($I$77="x",2)-IF($I$90="x",2)+IF($I$83="x",2)-IF($C$83="x",4)-$C$112-5+IF(H239="x",1)+I239+$M$77+IF(H241="x",1)+IF(J241="x",1)+IF($M$76="x",2)+J239+IF($M$85="x",1)+IF($M$113="x",1)+IF($M$120="x",2)+IF($M$119="x",2)+IF($M$105="x",1)+IF($M$110="x",1)+IF($M$111="x",2)+IF($M$112="x",4)+IF($M$108="x",1)-IF($M$109="x",1)-IF($M$99="x",1)+IF($M$90="x",1),
IF(AND($C$3&gt;10,$C$3&lt;16),SUM($C$3,$I$2)-$C$120+IF($C$75="x",2)+$I$16-$B$10+$M$94+IF($C$77="x",2)-IF($C$78="x",4)-IF($I$78="x",1)-IF($C$79="x",4)+IF($C$80="x",1)-IF($I$77="x",2)-IF($I$90="x",2)+IF($I$83="x",2)-IF($C$83="x",4)-$C$112+IF(H239="x",1)+I239+$M$77+IF(H241="x",1)+IF(J241="x",1)+IF($M$76="x",2)+J239+IF($M$85="x",1)+IF($M$113="x",1)+IF($M$120="x",2)+IF($M$119="x",2)+IF($M$105="x",1)+IF($M$110="x",1)+IF($M$111="x",2)+IF($M$112="x",4)+IF($M$108="x",1)-IF($M$109="x",1)+IF($M$99="x",20)-IF($M$99="x",1)+IF($M$90="x",1)
&amp;"/"&amp;SUM($C$3,$I$2)-$C$120+IF($C$75="x",2)+$I$16-$B$10+$M$94+IF($C$77="x",2)-IF($C$78="x",4)-IF($I$78="x",1)-IF($C$79="x",4)+IF($C$80="x",1)-IF($I$77="x",2)-IF($I$90="x",2)+IF($I$83="x",2)-IF($C$83="x",4)-$C$112-5+IF(H610="x",1)+IF(H239="x",1)+I239+$M$77+IF(H241="x",1)+IF(J241="x",1)+IF($M$76="x",2)+J239+IF($M$85="x",1)+IF($M$113="x",1)+IF($M$120="x",2)+IF($M$119="x",2)+IF($M$105="x",1)+IF($M$110="x",1)+IF($M$111="x",2)+IF($M$112="x",4)+IF($M$108="x",1)-IF($M$109="x",1)-IF($M$99="x",1)+IF($M$90="x",1)
&amp;"/"&amp;SUM($C$3,$I$2)-$C$120+IF($C$75="x",2)+$I$16-$B$10+$M$94+IF($C$77="x",2)-IF($C$78="x",4)-IF($I$78="x",1)-IF($C$79="x",4)+IF($C$80="x",1)-IF($I$77="x",2)-IF($I$90="x",2)+IF($I$83="x",2)-IF($C$83="x",4)-$C$112-10+IF(H610="x",1)+IF(H239="x",1)+I239+$M$77+IF(H241="x",1)+IF(J241="x",1)+IF($M$76="x",2)+J239+IF($M$85="x",1)+IF($M$113="x",1)+IF($M$120="x",2)+IF($M$119="x",2)+IF($M$105="x",1)+IF($M$110="x",1)+IF($M$111="x",2)+IF($M$112="x",4)+IF($M$108="x",1)-IF($M$109="x",1)-IF($M$99="x",1)+IF($M$90="x",1),
IF(AND($C$3&gt;15),SUM($C$3,$I$2)-$C$120+IF($C$75="x",2)+$I$16-$B$10+$M$94+IF($C$77="x",2)-IF($C$78="x",4)-IF($I$78="x",1)-IF($C$79="x",4)+IF($C$80="x",1)-IF($I$77="x",2)-IF($I$90="x",2)+IF($I$83="x",2)-IF($C$83="x",4)-$C$112+IF(H239="x",1)+I239+$M$77+IF(H241="x",1)+IF(J241="x",1)+IF($M$76="x",2)+J239+IF($M$85="x",1)+IF($M$113="x",1)+IF($M$120="x",2)+IF($M$119="x",2)+IF($M$105="x",1)+IF($M$110="x",1)+IF($M$111="x",2)+IF($M$112="x",4)+IF($M$108="x",1)-IF($M$109="x",1)-IF($M$99="x",1)+IF($M$90="x",1)
&amp;"/"&amp;SUM($C$3,$I$2)-$C$120+IF($C$75="x",2)+$I$16-$B$10+$M$94+IF($C$77="x",2)-IF($C$78="x",4)-IF($I$78="x",1)-IF($C$79="x",4)+IF($C$80="x",1)-IF($I$77="x",2)-IF($I$90="x",2)+IF($I$83="x",2)-IF($C$83="x",4)-$C$112-5+IF(H610="x",1)+IF(H239="x",1)+I239+$M$77+IF(H241="x",1)+IF(J241="x",1)+IF($M$76="x",2)+J239+IF($M$85="x",1)+IF($M$113="x",1)+IF($M$120="x",2)+IF($M$119="x",2)+IF($M$105="x",1)+IF($M$110="x",1)+IF($M$111="x",2)+IF($M$112="x",4)+IF($M$108="x",1)-IF($M$109="x",1)-IF($M$99="x",1)+IF($M$90="x",1)
&amp;"/"&amp;SUM($C$3,$I$2)-$C$120+IF($C$75="x",2)+$I$16-$B$10+$M$94+IF($C$77="x",2)-IF($C$78="x",4)-IF($I$78="x",1)-IF($C$79="x",4)+IF($C$80="x",1)-IF($I$77="x",2)-IF($I$90="x",2)+IF($I$83="x",2)-IF($C$83="x",4)-$C$112-10+IF(H610="x",1)+IF(H239="x",1)+I239+$M$77+IF(H241="x",1)+IF(J241="x",1)+IF($M$76="x",2)+J239+IF($M$85="x",1)+IF($M$113="x",1)+IF($M$120="x",2)+IF($M$119="x",2)+IF($M$105="x",1)+IF($M$110="x",1)+IF($M$111="x",2)+IF($M$112="x",4)+IF($M$108="x",1)-IF($M$109="x",1)-IF($M$99="x",1)+IF($M$90="x",1)
&amp;"/"&amp;SUM($C$3,$I$2)-$C$120+IF($C$75="x",2)+$I$16-$B$10+$M$94+IF($C$77="x",2)-IF($C$78="x",4)-IF($I$78="x",1)-IF($C$79="x",4)+IF($C$80="x",1)-IF($I$77="x",2)-IF($I$90="x",2)+IF($I$83="x",2)-IF($C$83="x",4)-$C$112-15+IF(H610="x",1)+IF(H239="x",1)+I239+$M$77+IF(H241="x",1)+IF(J241="x",1)+IF($M$76="x",2)+J239+IF($M$85="x",1)+IF($M$113="x",1)+IF($M$120="x",2)+IF($M$119="x",2)+IF($M$105="x",1)+IF($M$110="x",1)+IF($M$111="x",2)+IF($M$112="x",4)+IF($M$108="x",1)-IF($M$109="x",1)-IF($M$99="x",1)+IF($M$90="x",1))))))</f>
        <v>0</v>
      </c>
      <c r="C239" s="49" t="str">
        <f>_xlfn.IFS($C$7="Minimaalinen","1n2",$C$7="Taskukokoinen","1n3",$C$7="Hyvin pieni","1n4",$C$7="Pieni","1n6",$C$7="Keskikokoinen","1n8",$C$7="Iso","2n6",$C$7="Valtava","3n6",$C$7="Suunnaton","4n6",$C$7="Giganttinen","6n6")</f>
        <v>1n8</v>
      </c>
      <c r="D239" s="18">
        <f>SUM($I$2+$C$120)+I239+$M$77+IF(I241="x",2)+IF(K241="x",2)+IF($M$119="x",2)+IF($M$108="x",1)+$M$94-IF($M$109="x",1)+K239</f>
        <v>0</v>
      </c>
      <c r="E239" s="49" t="str">
        <f>_xlfn.IFS($C$7="Minimaalinen","2n2",$C$7="Taskukokoinen","2n3",$C$7="Hyvin pieni","2n4",$C$7="Pieni","2n6",$C$7="Keskikokoinen","2n8",$C$7="Iso","4n6",$C$7="Valtava","6n6",$C$7="Suunnaton","8n6",$C$7="Giganttinen","12n6")</f>
        <v>2n8</v>
      </c>
      <c r="F239" s="12">
        <f>SUM(D239*2)</f>
        <v>0</v>
      </c>
      <c r="G239" s="12" t="str">
        <f>(IF($I$89="x","50 %","")&amp;(IF($C$81="x","20 %",""))&amp;(IF($C$82="x","50 %","")))</f>
        <v/>
      </c>
      <c r="H239" s="28"/>
      <c r="I239" s="17">
        <v>0</v>
      </c>
      <c r="J239" s="17">
        <v>0</v>
      </c>
      <c r="K239" s="17">
        <v>0</v>
      </c>
      <c r="AB239" s="52"/>
      <c r="AC239" s="53"/>
      <c r="AD239" s="54"/>
      <c r="AE239" s="53"/>
      <c r="AF239" s="54"/>
      <c r="AG239" s="54"/>
      <c r="AH239" s="54"/>
      <c r="AI239" s="40"/>
      <c r="AJ239" s="40"/>
      <c r="AL239" s="49"/>
    </row>
    <row r="240" spans="1:38" x14ac:dyDescent="0.2">
      <c r="A240" s="58" t="s">
        <v>8</v>
      </c>
      <c r="B240" s="119">
        <f>IF($I$85="x","PAINISSA",IF($C$3&lt;=5,SUM($C$3,$I$2)-$C$120+IF($C$75="x",2)+$I$16-$B$10+$M$94+IF($C$77="x",2)-IF($C$78="x",4)-IF($I$78="x",1)-IF($C$79="x",4)+IF($C$80="x",1)-IF($I$77="x",2)-IF($I$90="x",2)+IF($I$83="x",2)-IF($C$75="x",4)-$C$112+IF(H239="x",1)+I239+$M$77+IF(H241="x",1)+IF(J241="x",1)+IF($M$76="x",2)+J239+IF($M$85="x",1)+IF($M$113="x",1)+IF($M$120="x",2)+IF($M$119="x",2)+IF($M$105="x",1)+IF($M$110="x",1)+IF($M$111="x",2)+IF($M$112="x",4)+IF($M$108="x",1)-IF($M$109="x",1)-IF($M$99="x",1)+IF($M$90="x",1),
IF(AND($C$3&gt;5,$C$3&lt;11),SUM($C$3,$I$2)-$C$120+IF($C$75="x",2)+$I$16-$B$10+$M$94+IF($C$77="x",2)-IF($C$78="x",4)-IF($I$78="x",1)-IF($C$79="x",4)+IF($C$80="x",1)-IF($I$77="x",2)-IF($I$90="x",2)+IF($I$83="x",2)-IF($C$83="x",4)-$C$112+IF(H239="x",1)+I239+$M$77+IF(H241="x",1)+IF(J241="x",1)+IF($M$76="x",2)+J239+IF($M$85="x",1)+IF($M$113="x",1)+IF($M$120="x",2)+IF($M$119="x",2)+IF($M$105="x",1)+IF($M$110="x",1)+IF($M$111="x",2)+IF($M$112="x",4)+IF($M$108="x",1)-IF($M$109="x",1)-IF($M$99="x",1)+IF($M$90="x",1)
&amp;"/"&amp;SUM($C$3,$I$2)-$C$120+IF($C$75="x",2)+$I$16-$B$10+$M$94+IF($C$77="x",2)-IF($C$78="x",4)-IF($I$78="x",1)-IF($C$79="x",4)+IF($C$80="x",1)-IF($I$77="x",2)-IF($I$90="x",2)+IF($I$83="x",2)-IF($C$83="x",4)-$C$112-5+IF(H239="x",1)+I239+$M$77+IF(H241="x",1)+IF(J241="x",1)+IF($M$76="x",2)+J239+IF($M$85="x",1)+IF($M$113="x",1)+IF($M$120="x",2)+IF($M$119="x",2)+IF($M$105="x",1)+IF($M$110="x",1)+IF($M$111="x",2)+IF($M$112="x",4)+IF($M$108="x",1)-IF($M$109="x",1)-IF($M$99="x",1)+IF($M$90="x",1),
IF(AND($C$3&gt;10,$C$3&lt;16),SUM($C$3,$I$2)-$C$120+IF($C$75="x",2)+$I$16-$B$10+$M$94+IF($C$77="x",2)-IF($C$78="x",4)-IF($I$78="x",1)-IF($C$79="x",4)+IF($C$80="x",1)-IF($I$77="x",2)-IF($I$90="x",2)+IF($I$83="x",2)-IF($C$83="x",4)-$C$112+IF(H239="x",1)+I239+$M$77+IF(H241="x",1)+IF(J241="x",1)+IF($M$76="x",2)+J239+IF($M$85="x",1)+IF($M$113="x",1)+IF($M$120="x",2)+IF($M$119="x",2)+IF($M$105="x",1)+IF($M$110="x",1)+IF($M$111="x",2)+IF($M$112="x",4)+IF($M$108="x",1)-IF($M$109="x",1)+IF($M$99="x",20)-IF($M$99="x",1)+IF($M$90="x",1)
&amp;"/"&amp;SUM($C$3,$I$2)-$C$120+IF($C$75="x",2)+$I$16-$B$10+$M$94+IF($C$77="x",2)-IF($C$78="x",4)-IF($I$78="x",1)-IF($C$79="x",4)+IF($C$80="x",1)-IF($I$77="x",2)-IF($I$90="x",2)+IF($I$83="x",2)-IF($C$83="x",4)-$C$112-5+IF(H610="x",1)+IF(H239="x",1)+I239+$M$77+IF(H241="x",1)+IF(J241="x",1)+IF($M$76="x",2)+J239+IF($M$85="x",1)+IF($M$113="x",1)+IF($M$120="x",2)+IF($M$119="x",2)+IF($M$105="x",1)+IF($M$110="x",1)+IF($M$111="x",2)+IF($M$112="x",4)+IF($M$108="x",1)-IF($M$109="x",1)-IF($M$99="x",1)+IF($M$90="x",1)
&amp;"/"&amp;SUM($C$3,$I$2)-$C$120+IF($C$75="x",2)+$I$16-$B$10+$M$94+IF($C$77="x",2)-IF($C$78="x",4)-IF($I$78="x",1)-IF($C$79="x",4)+IF($C$80="x",1)-IF($I$77="x",2)-IF($I$90="x",2)+IF($I$83="x",2)-IF($C$83="x",4)-$C$112-10+IF(H610="x",1)+IF(H239="x",1)+I239+$M$77+IF(H241="x",1)+IF(J241="x",1)+IF($M$76="x",2)+J239+IF($M$85="x",1)+IF($M$113="x",1)+IF($M$120="x",2)+IF($M$119="x",2)+IF($M$105="x",1)+IF($M$110="x",1)+IF($M$111="x",2)+IF($M$112="x",4)+IF($M$108="x",1)-IF($M$109="x",1)-IF($M$99="x",1)+IF($M$90="x",1),
IF(AND($C$3&gt;15),SUM($C$3,$I$2)-$C$120+IF($C$75="x",2)+$I$16-$B$10+$M$94+IF($C$77="x",2)-IF($C$78="x",4)-IF($I$78="x",1)-IF($C$79="x",4)+IF($C$80="x",1)-IF($I$77="x",2)-IF($I$90="x",2)+IF($I$83="x",2)-IF($C$83="x",4)-$C$112+IF(H239="x",1)+I239+$M$77+IF(H241="x",1)+IF(J241="x",1)+IF($M$76="x",2)+J239+IF($M$85="x",1)+IF($M$113="x",1)+IF($M$120="x",2)+IF($M$119="x",2)+IF($M$105="x",1)+IF($M$110="x",1)+IF($M$111="x",2)+IF($M$112="x",4)+IF($M$108="x",1)-IF($M$109="x",1)-IF($M$99="x",1)+IF($M$90="x",1)
&amp;"/"&amp;SUM($C$3,$I$2)-$C$120+IF($C$75="x",2)+$I$16-$B$10+$M$94+IF($C$77="x",2)-IF($C$78="x",4)-IF($I$78="x",1)-IF($C$79="x",4)+IF($C$80="x",1)-IF($I$77="x",2)-IF($I$90="x",2)+IF($I$83="x",2)-IF($C$83="x",4)-$C$112-5+IF(H610="x",1)+IF(H239="x",1)+I239+$M$77+IF(H241="x",1)+IF(J241="x",1)+IF($M$76="x",2)+J239+IF($M$85="x",1)+IF($M$113="x",1)+IF($M$120="x",2)+IF($M$119="x",2)+IF($M$105="x",1)+IF($M$110="x",1)+IF($M$111="x",2)+IF($M$112="x",4)+IF($M$108="x",1)-IF($M$109="x",1)-IF($M$99="x",1)+IF($M$90="x",1)
&amp;"/"&amp;SUM($C$3,$I$2)-$C$120+IF($C$75="x",2)+$I$16-$B$10+$M$94+IF($C$77="x",2)-IF($C$78="x",4)-IF($I$78="x",1)-IF($C$79="x",4)+IF($C$80="x",1)-IF($I$77="x",2)-IF($I$90="x",2)+IF($I$83="x",2)-IF($C$83="x",4)-$C$112-10+IF(H610="x",1)+IF(H239="x",1)+I239+$M$77+IF(H241="x",1)+IF(J241="x",1)+IF($M$76="x",2)+J239+IF($M$85="x",1)+IF($M$113="x",1)+IF($M$120="x",2)+IF($M$119="x",2)+IF($M$105="x",1)+IF($M$110="x",1)+IF($M$111="x",2)+IF($M$112="x",4)+IF($M$108="x",1)-IF($M$109="x",1)-IF($M$99="x",1)+IF($M$90="x",1)
&amp;"/"&amp;SUM($C$3,$I$2)-$C$120+IF($C$75="x",2)+$I$16-$B$10+$M$94+IF($C$77="x",2)-IF($C$78="x",4)-IF($I$78="x",1)-IF($C$79="x",4)+IF($C$80="x",1)-IF($I$77="x",2)-IF($I$90="x",2)+IF($I$83="x",2)-IF($C$83="x",4)-$C$112-15+IF(H610="x",1)+IF(H239="x",1)+I239+$M$77+IF(H241="x",1)+IF(J241="x",1)+IF($M$76="x",2)+J239+IF($M$85="x",1)+IF($M$113="x",1)+IF($M$120="x",2)+IF($M$119="x",2)+IF($M$105="x",1)+IF($M$110="x",1)+IF($M$111="x",2)+IF($M$112="x",4)+IF($M$108="x",1)-IF($M$109="x",1)-IF($M$99="x",1)+IF($M$90="x",1))))))</f>
        <v>0</v>
      </c>
      <c r="C240" s="114" t="str">
        <f>_xlfn.IFS($C$7="Minimaalinen","1n2",$C$7="Taskukokoinen","1n3",$C$7="Hyvin pieni","1n4",$C$7="Pieni","1n6",$C$7="Keskikokoinen","1n8",$C$7="Iso","2n6",$C$7="Valtava","3n6",$C$7="Suunnaton","4n6",$C$7="Giganttinen","6n6")</f>
        <v>1n8</v>
      </c>
      <c r="D240" s="119">
        <f>IF($I$2&lt;0,$I$2,INT($I$2*1.5))+($C$120*2)+I239+$M$77+IF(I241="x",2)+IF(K241="x",2)+IF($M$119="x",2)+IF($M$108="x",1)+$M$94-IF($M$109="x",1)+K239</f>
        <v>0</v>
      </c>
      <c r="E240" s="114" t="str">
        <f>_xlfn.IFS($C$7="Minimaalinen","2n2",$C$7="Taskukokoinen","2n3",$C$7="Hyvin pieni","2n4",$C$7="Pieni","2n6",$C$7="Keskikokoinen","2n8",$C$7="Iso","4n6",$C$7="Valtava","6n6",$C$7="Suunnaton","8n6",$C$7="Giganttinen","12n6")</f>
        <v>2n8</v>
      </c>
      <c r="F240" s="120">
        <f>SUM(D240*2)</f>
        <v>0</v>
      </c>
      <c r="G240" s="120" t="str">
        <f>(IF($I$89="x","50 %","")&amp;(IF($C$81="x","20 %",""))&amp;(IF($C$82="x","50 %","")))</f>
        <v/>
      </c>
      <c r="H240" s="14" t="s">
        <v>220</v>
      </c>
      <c r="I240" s="14" t="s">
        <v>221</v>
      </c>
      <c r="J240" s="14" t="s">
        <v>222</v>
      </c>
      <c r="K240" s="14" t="s">
        <v>223</v>
      </c>
    </row>
    <row r="241" spans="1:38" x14ac:dyDescent="0.2">
      <c r="A241" s="25" t="s">
        <v>438</v>
      </c>
      <c r="B241" s="121">
        <f>IF($I$85="x","PAINISSA",IF($C$3&lt;=5,SUM($C$3,$I$2)-$C$120+IF($C$75="x",2)+$I$16-$B$10+$M$94+IF($C$77="x",2)-IF($C$78="x",4)-IF($I$78="x",1)-IF($C$79="x",4)+IF($C$80="x",1)-IF($I$77="x",2)-IF($I$90="x",2)+IF($I$83="x",2)-IF($C$75="x",4)-$C$112+IF(H239="x",1)+I239+$M$77+IF(H241="x",1)+IF(J241="x",1)+IF($M$76="x",2)+J239+IF($M$85="x",1)+IF($M$113="x",1)+IF($M$120="x",2)+IF($M$119="x",2)+IF($M$105="x",1)+IF($M$110="x",1)+IF($M$111="x",2)+IF($M$112="x",4)+IF($M$108="x",1)-IF($M$109="x",1)-IF($M$99="x",1)+IF($M$90="x",1)-IF($C$97="x",2,4),
IF(AND($C$3&gt;5,$C$3&lt;11),SUM($C$3,$I$2)-$C$120+IF($C$75="x",2)+$I$16-$B$10+$M$94+IF($C$77="x",2)-IF($C$78="x",4)-IF($I$78="x",1)-IF($C$79="x",4)+IF($C$80="x",1)-IF($I$77="x",2)-IF($I$90="x",2)+IF($I$83="x",2)-IF($C$83="x",4)-$C$112+IF(H239="x",1)+I239+$M$77+IF(H241="x",1)+IF(J241="x",1)+IF($M$76="x",2)+J239+IF($M$85="x",1)+IF($M$113="x",1)+IF($M$120="x",2)+IF($M$119="x",2)+IF($M$105="x",1)+IF($M$110="x",1)+IF($M$111="x",2)+IF($M$112="x",4)+IF($M$108="x",1)-IF($M$109="x",1)-IF($M$99="x",1)+IF($M$90="x",1)-IF($C$97="x",2,4)
&amp;"/"&amp;SUM($C$3,$I$2)-$C$120+IF($C$75="x",2)+$I$16-$B$10+$M$94+IF($C$77="x",2)-IF($C$78="x",4)-IF($I$78="x",1)-IF($C$79="x",4)+IF($C$80="x",1)-IF($I$77="x",2)-IF($I$90="x",2)+IF($I$83="x",2)-IF($C$83="x",4)-$C$112-5+IF(H239="x",1)+I239+$M$77+IF(H241="x",1)+IF(J241="x",1)+IF($M$76="x",2)+J239+IF($M$85="x",1)+IF($M$113="x",1)+IF($M$120="x",2)+IF($M$119="x",2)+IF($M$105="x",1)+IF($M$110="x",1)+IF($M$111="x",2)+IF($M$112="x",4)+IF($M$108="x",1)-IF($M$109="x",1)-IF($M$99="x",1)+IF($M$90="x",1)-IF($C$97="x",2,4),
IF(AND($C$3&gt;10,$C$3&lt;16),SUM($C$3,$I$2)-$C$120+IF($C$75="x",2)+$I$16-$B$10+$M$94+IF($C$77="x",2)-IF($C$78="x",4)-IF($I$78="x",1)-IF($C$79="x",4)+IF($C$80="x",1)-IF($I$77="x",2)-IF($I$90="x",2)+IF($I$83="x",2)-IF($C$83="x",4)-$C$112+IF(H239="x",1)+I239+$M$77+IF(H241="x",1)+IF(J241="x",1)+IF($M$76="x",2)+J239+IF($M$85="x",1)+IF($M$113="x",1)+IF($M$120="x",2)+IF($M$119="x",2)+IF($M$105="x",1)+IF($M$110="x",1)+IF($M$111="x",2)+IF($M$112="x",4)+IF($M$108="x",1)-IF($M$109="x",1)+IF($M$99="x",20)-IF($M$99="x",1)+IF($M$90="x",1)-IF($C$97="x",2,4)
&amp;"/"&amp;SUM($C$3,$I$2)-$C$120+IF($C$75="x",2)+$I$16-$B$10+$M$94+IF($C$77="x",2)-IF($C$78="x",4)-IF($I$78="x",1)-IF($C$79="x",4)+IF($C$80="x",1)-IF($I$77="x",2)-IF($I$90="x",2)+IF($I$83="x",2)-IF($C$83="x",4)-$C$112-5+IF(H610="x",1)+IF(H239="x",1)+I239+$M$77+IF(H241="x",1)+IF(J241="x",1)+IF($M$76="x",2)+J239+IF($M$85="x",1)+IF($M$113="x",1)+IF($M$120="x",2)+IF($M$119="x",2)+IF($M$105="x",1)+IF($M$110="x",1)+IF($M$111="x",2)+IF($M$112="x",4)+IF($M$108="x",1)-IF($M$109="x",1)-IF($M$99="x",1)+IF($M$90="x",1)-IF($C$97="x",2,4)
&amp;"/"&amp;SUM($C$3,$I$2)-$C$120+IF($C$75="x",2)+$I$16-$B$10+$M$94+IF($C$77="x",2)-IF($C$78="x",4)-IF($I$78="x",1)-IF($C$79="x",4)+IF($C$80="x",1)-IF($I$77="x",2)-IF($I$90="x",2)+IF($I$83="x",2)-IF($C$83="x",4)-$C$112-10+IF(H610="x",1)+IF(H239="x",1)+I239+$M$77+IF(H241="x",1)+IF(J241="x",1)+IF($M$76="x",2)+J239+IF($M$85="x",1)+IF($M$113="x",1)+IF($M$120="x",2)+IF($M$119="x",2)+IF($M$105="x",1)+IF($M$110="x",1)+IF($M$111="x",2)+IF($M$112="x",4)+IF($M$108="x",1)-IF($M$109="x",1)-IF($M$99="x",1)+IF($M$90="x",1)-IF($C$97="x",2,4),
IF(AND($C$3&gt;15),SUM($C$3,$I$2)-$C$120+IF($C$75="x",2)+$I$16-$B$10+$M$94+IF($C$77="x",2)-IF($C$78="x",4)-IF($I$78="x",1)-IF($C$79="x",4)+IF($C$80="x",1)-IF($I$77="x",2)-IF($I$90="x",2)+IF($I$83="x",2)-IF($C$83="x",4)-$C$112+IF(H239="x",1)+I239+$M$77+IF(H241="x",1)+IF(J241="x",1)+IF($M$76="x",2)+J239+IF($M$85="x",1)+IF($M$113="x",1)+IF($M$120="x",2)+IF($M$119="x",2)+IF($M$105="x",1)+IF($M$110="x",1)+IF($M$111="x",2)+IF($M$112="x",4)+IF($M$108="x",1)-IF($M$109="x",1)-IF($M$99="x",1)+IF($M$90="x",1)-IF($C$97="x",2,4)
&amp;"/"&amp;SUM($C$3,$I$2)-$C$120+IF($C$75="x",2)+$I$16-$B$10+$M$94+IF($C$77="x",2)-IF($C$78="x",4)-IF($I$78="x",1)-IF($C$79="x",4)+IF($C$80="x",1)-IF($I$77="x",2)-IF($I$90="x",2)+IF($I$83="x",2)-IF($C$83="x",4)-$C$112-5+IF(H610="x",1)+IF(H239="x",1)+I239+$M$77+IF(H241="x",1)+IF(J241="x",1)+IF($M$76="x",2)+J239+IF($M$85="x",1)+IF($M$113="x",1)+IF($M$120="x",2)+IF($M$119="x",2)+IF($M$105="x",1)+IF($M$110="x",1)+IF($M$111="x",2)+IF($M$112="x",4)+IF($M$108="x",1)-IF($M$109="x",1)-IF($M$99="x",1)+IF($M$90="x",1)-IF($C$97="x",2,4)
&amp;"/"&amp;SUM($C$3,$I$2)-$C$120+IF($C$75="x",2)+$I$16-$B$10+$M$94+IF($C$77="x",2)-IF($C$78="x",4)-IF($I$78="x",1)-IF($C$79="x",4)+IF($C$80="x",1)-IF($I$77="x",2)-IF($I$90="x",2)+IF($I$83="x",2)-IF($C$83="x",4)-$C$112-10+IF(H610="x",1)+IF(H239="x",1)+I239+$M$77+IF(H241="x",1)+IF(J241="x",1)+IF($M$76="x",2)+J239+IF($M$85="x",1)+IF($M$113="x",1)+IF($M$120="x",2)+IF($M$119="x",2)+IF($M$105="x",1)+IF($M$110="x",1)+IF($M$111="x",2)+IF($M$112="x",4)+IF($M$108="x",1)-IF($M$109="x",1)-IF($M$99="x",1)+IF($M$90="x",1)-IF($C$97="x",2,4)
&amp;"/"&amp;SUM($C$3,$I$2)-$C$120+IF($C$75="x",2)+$I$16-$B$10+$M$94+IF($C$77="x",2)-IF($C$78="x",4)-IF($I$78="x",1)-IF($C$79="x",4)+IF($C$80="x",1)-IF($I$77="x",2)-IF($I$90="x",2)+IF($I$83="x",2)-IF($C$83="x",4)-$C$112-15+IF(H610="x",1)+IF(H239="x",1)+I239+$M$77+IF(H241="x",1)+IF(J241="x",1)+IF($M$76="x",2)+J239+IF($M$85="x",1)+IF($M$113="x",1)+IF($M$120="x",2)+IF($M$119="x",2)+IF($M$105="x",1)+IF($M$110="x",1)+IF($M$111="x",2)+IF($M$112="x",4)+IF($M$108="x",1)-IF($M$109="x",1)-IF($M$99="x",1)+IF($M$90="x",1)-IF($C$97="x",2,4))))))</f>
        <v>-4</v>
      </c>
      <c r="C241" s="49" t="str">
        <f>_xlfn.IFS($C$7="Minimaalinen","1n2",$C$7="Taskukokoinen","1n3",$C$7="Hyvin pieni","1n4",$C$7="Pieni","1n6",$C$7="Keskikokoinen","1n8",$C$7="Iso","2n6",$C$7="Valtava","3n6",$C$7="Suunnaton","4n6",$C$7="Giganttinen","6n6")</f>
        <v>1n8</v>
      </c>
      <c r="D241" s="121">
        <f>SUM($I$2+$C$120)+I239+$M$77+IF(I241="x",2)+IF(K241="x",2)+IF($M$119="x",2)+IF($M$108="x",1)+$M$94-IF($M$109="x",1)+K239</f>
        <v>0</v>
      </c>
      <c r="E241" s="49" t="str">
        <f>_xlfn.IFS($C$7="Minimaalinen","2n2",$C$7="Taskukokoinen","2n3",$C$7="Hyvin pieni","2n4",$C$7="Pieni","2n6",$C$7="Keskikokoinen","2n8",$C$7="Iso","4n6",$C$7="Valtava","6n6",$C$7="Suunnaton","8n6",$C$7="Giganttinen","12n6")</f>
        <v>2n8</v>
      </c>
      <c r="F241" s="82">
        <f>SUM(D241*2)</f>
        <v>0</v>
      </c>
      <c r="G241" s="82" t="str">
        <f>(IF($I$89="x","50 %","")&amp;(IF($C$81="x","20 %",""))&amp;(IF($C$82="x","50 %","")))</f>
        <v/>
      </c>
      <c r="H241" s="28"/>
      <c r="I241" s="28"/>
      <c r="J241" s="28"/>
      <c r="K241" s="28"/>
    </row>
    <row r="242" spans="1:38" x14ac:dyDescent="0.2">
      <c r="A242" s="25" t="s">
        <v>437</v>
      </c>
      <c r="B242" s="82">
        <f>IF($I$85="x","PAINISSA",IF($C$3&lt;=5,SUM($C$3,$I$2)-$C$120+IF($C$75="x",2)+$I$16-$B$10+$M$94+IF($C$77="x",2)-IF($C$78="x",4)-IF($I$78="x",1)-IF($C$79="x",4)+IF($C$80="x",1)-IF($I$77="x",2)-IF($I$90="x",2)+IF($I$83="x",2)-IF($C$75="x",4)-$C$112+IF(H239="x",1)+I239+$M$77+IF(H241="x",1)+IF(J241="x",1)+IF($M$76="x",2)+J239+IF($M$85="x",1)+IF($M$113="x",1)+IF($M$120="x",2)+IF($M$119="x",2)+IF($M$105="x",1)+IF($M$110="x",1)+IF($M$111="x",2)+IF($M$112="x",4)+IF($M$108="x",1)-IF($M$109="x",1)-IF($M$99="x",1)+IF($M$90="x",1)-IF($C$97="x",4,6),
IF(AND($C$3&gt;5,$C$3&lt;11),SUM($C$3,$I$2)-$C$120+IF($C$75="x",2)+$I$16-$B$10+$M$94+IF($C$77="x",2)-IF($C$78="x",4)-IF($I$78="x",1)-IF($C$79="x",4)+IF($C$80="x",1)-IF($I$77="x",2)-IF($I$90="x",2)+IF($I$83="x",2)-IF($C$83="x",4)-$C$112+IF(H239="x",1)+I239+$M$77+IF(H241="x",1)+IF(J241="x",1)+IF($M$76="x",2)+J239+IF($M$85="x",1)+IF($M$113="x",1)+IF($M$120="x",2)+IF($M$119="x",2)+IF($M$105="x",1)+IF($M$110="x",1)+IF($M$111="x",2)+IF($M$112="x",4)+IF($M$108="x",1)-IF($M$109="x",1)-IF($M$99="x",1)+IF($M$90="x",1)-IF($C$97="x",4,6)
&amp;"/"&amp;SUM($C$3,$I$2)-$C$120+IF($C$75="x",2)+$I$16-$B$10+$M$94+IF($C$77="x",2)-IF($C$78="x",4)-IF($I$78="x",1)-IF($C$79="x",4)+IF($C$80="x",1)-IF($I$77="x",2)-IF($I$90="x",2)+IF($I$83="x",2)-IF($C$83="x",4)-$C$112-5+IF(H239="x",1)+I239+$M$77+IF(H241="x",1)+IF(J241="x",1)+IF($M$76="x",2)+J239+IF($M$85="x",1)+IF($M$113="x",1)+IF($M$120="x",2)+IF($M$119="x",2)+IF($M$105="x",1)+IF($M$110="x",1)+IF($M$111="x",2)+IF($M$112="x",4)+IF($M$108="x",1)-IF($M$109="x",1)-IF($M$99="x",1)+IF($M$90="x",1)-IF($C$97="x",4,6),
IF(AND($C$3&gt;10,$C$3&lt;16),SUM($C$3,$I$2)-$C$120+IF($C$75="x",2)+$I$16-$B$10+$M$94+IF($C$77="x",2)-IF($C$78="x",4)-IF($I$78="x",1)-IF($C$79="x",4)+IF($C$80="x",1)-IF($I$77="x",2)-IF($I$90="x",2)+IF($I$83="x",2)-IF($C$83="x",4)-$C$112+IF(H239="x",1)+I239+$M$77+IF(H241="x",1)+IF(J241="x",1)+IF($M$76="x",2)+J239+IF($M$85="x",1)+IF($M$113="x",1)+IF($M$120="x",2)+IF($M$119="x",2)+IF($M$105="x",1)+IF($M$110="x",1)+IF($M$111="x",2)+IF($M$112="x",4)+IF($M$108="x",1)-IF($M$109="x",1)+IF($M$99="x",20)-IF($M$99="x",1)+IF($M$90="x",1)-IF($C$97="x",4,6)
&amp;"/"&amp;SUM($C$3,$I$2)-$C$120+IF($C$75="x",2)+$I$16-$B$10+$M$94+IF($C$77="x",2)-IF($C$78="x",4)-IF($I$78="x",1)-IF($C$79="x",4)+IF($C$80="x",1)-IF($I$77="x",2)-IF($I$90="x",2)+IF($I$83="x",2)-IF($C$83="x",4)-$C$112-5+IF(H610="x",1)+IF(H239="x",1)+I239+$M$77+IF(H241="x",1)+IF(J241="x",1)+IF($M$76="x",2)+J239+IF($M$85="x",1)+IF($M$113="x",1)+IF($M$120="x",2)+IF($M$119="x",2)+IF($M$105="x",1)+IF($M$110="x",1)+IF($M$111="x",2)+IF($M$112="x",4)+IF($M$108="x",1)-IF($M$109="x",1)-IF($M$99="x",1)+IF($M$90="x",1)-IF($C$97="x",4,6)
&amp;"/"&amp;SUM($C$3,$I$2)-$C$120+IF($C$75="x",2)+$I$16-$B$10+$M$94+IF($C$77="x",2)-IF($C$78="x",4)-IF($I$78="x",1)-IF($C$79="x",4)+IF($C$80="x",1)-IF($I$77="x",2)-IF($I$90="x",2)+IF($I$83="x",2)-IF($C$83="x",4)-$C$112-10+IF(H610="x",1)+IF(H239="x",1)+I239+$M$77+IF(H241="x",1)+IF(J241="x",1)+IF($M$76="x",2)+J239+IF($M$85="x",1)+IF($M$113="x",1)+IF($M$120="x",2)+IF($M$119="x",2)+IF($M$105="x",1)+IF($M$110="x",1)+IF($M$111="x",2)+IF($M$112="x",4)+IF($M$108="x",1)-IF($M$109="x",1)-IF($M$99="x",1)+IF($M$90="x",1)-IF($C$97="x",4,6),
IF(AND($C$3&gt;15),SUM($C$3,$I$2)-$C$120+IF($C$75="x",2)+$I$16-$B$10+$M$94+IF($C$77="x",2)-IF($C$78="x",4)-IF($I$78="x",1)-IF($C$79="x",4)+IF($C$80="x",1)-IF($I$77="x",2)-IF($I$90="x",2)+IF($I$83="x",2)-IF($C$83="x",4)-$C$112+IF(H239="x",1)+I239+$M$77+IF(H241="x",1)+IF(J241="x",1)+IF($M$76="x",2)+J239+IF($M$85="x",1)+IF($M$113="x",1)+IF($M$120="x",2)+IF($M$119="x",2)+IF($M$105="x",1)+IF($M$110="x",1)+IF($M$111="x",2)+IF($M$112="x",4)+IF($M$108="x",1)-IF($M$109="x",1)-IF($M$99="x",1)+IF($M$90="x",1)-IF($C$97="x",4,6)
&amp;"/"&amp;SUM($C$3,$I$2)-$C$120+IF($C$75="x",2)+$I$16-$B$10+$M$94+IF($C$77="x",2)-IF($C$78="x",4)-IF($I$78="x",1)-IF($C$79="x",4)+IF($C$80="x",1)-IF($I$77="x",2)-IF($I$90="x",2)+IF($I$83="x",2)-IF($C$83="x",4)-$C$112-5+IF(H610="x",1)+IF(H239="x",1)+I239+$M$77+IF(H241="x",1)+IF(J241="x",1)+IF($M$76="x",2)+J239+IF($M$85="x",1)+IF($M$113="x",1)+IF($M$120="x",2)+IF($M$119="x",2)+IF($M$105="x",1)+IF($M$110="x",1)+IF($M$111="x",2)+IF($M$112="x",4)+IF($M$108="x",1)-IF($M$109="x",1)-IF($M$99="x",1)+IF($M$90="x",1)-IF($C$97="x",4,6)
&amp;"/"&amp;SUM($C$3,$I$2)-$C$120+IF($C$75="x",2)+$I$16-$B$10+$M$94+IF($C$77="x",2)-IF($C$78="x",4)-IF($I$78="x",1)-IF($C$79="x",4)+IF($C$80="x",1)-IF($I$77="x",2)-IF($I$90="x",2)+IF($I$83="x",2)-IF($C$83="x",4)-$C$112-10+IF(H610="x",1)+IF(H239="x",1)+I239+$M$77+IF(H241="x",1)+IF(J241="x",1)+IF($M$76="x",2)+J239+IF($M$85="x",1)+IF($M$113="x",1)+IF($M$120="x",2)+IF($M$119="x",2)+IF($M$105="x",1)+IF($M$110="x",1)+IF($M$111="x",2)+IF($M$112="x",4)+IF($M$108="x",1)-IF($M$109="x",1)-IF($M$99="x",1)+IF($M$90="x",1)-IF($C$97="x",4,6)
&amp;"/"&amp;SUM($C$3,$I$2)-$C$120+IF($C$75="x",2)+$I$16-$B$10+$M$94+IF($C$77="x",2)-IF($C$78="x",4)-IF($I$78="x",1)-IF($C$79="x",4)+IF($C$80="x",1)-IF($I$77="x",2)-IF($I$90="x",2)+IF($I$83="x",2)-IF($C$83="x",4)-$C$112-15+IF(H610="x",1)+IF(H239="x",1)+I239+$M$77+IF(H241="x",1)+IF(J241="x",1)+IF($M$76="x",2)+J239+IF($M$85="x",1)+IF($M$113="x",1)+IF($M$120="x",2)+IF($M$119="x",2)+IF($M$105="x",1)+IF($M$110="x",1)+IF($M$111="x",2)+IF($M$112="x",4)+IF($M$108="x",1)-IF($M$109="x",1)-IF($M$99="x",1)+IF($M$90="x",1)-IF($C$97="x",4,6))))))</f>
        <v>-6</v>
      </c>
      <c r="C242" s="49" t="str">
        <f>_xlfn.IFS($C$7="Minimaalinen","1n2",$C$7="Taskukokoinen","1n3",$C$7="Hyvin pieni","1n4",$C$7="Pieni","1n6",$C$7="Keskikokoinen","1n8",$C$7="Iso","2n6",$C$7="Valtava","3n6",$C$7="Suunnaton","4n6",$C$7="Giganttinen","6n6")</f>
        <v>1n8</v>
      </c>
      <c r="D242" s="121">
        <f>SUM($I$2+$C$120)+I239+$M$77+IF(I241="x",2)+IF(K241="x",2)+IF($M$119="x",2)+IF($M$108="x",1)+$M$94-IF($M$109="x",1)+K239</f>
        <v>0</v>
      </c>
      <c r="E242" s="49" t="str">
        <f>_xlfn.IFS($C$7="Minimaalinen","2n2",$C$7="Taskukokoinen","2n3",$C$7="Hyvin pieni","2n4",$C$7="Pieni","2n6",$C$7="Keskikokoinen","2n8",$C$7="Iso","4n6",$C$7="Valtava","6n6",$C$7="Suunnaton","8n6",$C$7="Giganttinen","12n6")</f>
        <v>2n8</v>
      </c>
      <c r="F242" s="82">
        <f>SUM(D242*2)</f>
        <v>0</v>
      </c>
      <c r="G242" s="82" t="str">
        <f>(IF($I$89="x","50 %","")&amp;(IF($C$81="x","20 %",""))&amp;(IF($C$82="x","50 %","")))</f>
        <v/>
      </c>
      <c r="H242" s="14" t="s">
        <v>182</v>
      </c>
      <c r="I242" s="15"/>
      <c r="AB242" s="115"/>
      <c r="AC242" s="116"/>
      <c r="AD242" s="116"/>
      <c r="AE242" s="116"/>
      <c r="AF242" s="116"/>
      <c r="AG242" s="116"/>
      <c r="AH242" s="116"/>
      <c r="AI242" s="48"/>
      <c r="AJ242" s="48"/>
      <c r="AK242" s="48"/>
      <c r="AL242" s="48"/>
    </row>
    <row r="243" spans="1:38" x14ac:dyDescent="0.2">
      <c r="A243" s="122" t="s">
        <v>436</v>
      </c>
      <c r="B243" s="123">
        <f>IF($I$85="x","PAINISSA",IF(AND($C$90="",$C$118=""),SUM($C$3,$I$2)-$C$120+IF($C$75="x",2)+$I$16-$B$10+$M$94+IF($C$77="x",2)-IF($C$78="x",4)-IF($I$78="x",1)-IF($C$79="x",4)+IF($C$80="x",1)-IF($I$77="x",2)-IF($I$90="x",2)+IF($I$83="x",2)-IF($C$75="x",4)-$C$112+IF(H239="x",1)+I239+$M$77+IF(H241="x",1)+IF(J241="x",1)+IF($M$76="x",2)+J239+IF($M$85="x",1)+IF($M$113="x",1)+IF($M$120="x",2)+IF($M$119="x",2)+IF($M$105="x",1)+IF($M$110="x",1)+IF($M$111="x",2)+IF($M$112="x",4)+IF($M$108="x",1)-IF($M$109="x",1)-IF($M$99="x",1)+IF($M$90="x",1)-IF($C$97="x",4,10),
IF(AND($C$90="x",$C$118=""),SUM($C$3,$I$2)-$C$120+IF($C$75="x",2)+$I$16-$B$10+$M$94+IF($C$77="x",2)-IF($C$78="x",4)-IF($I$78="x",1)-IF($C$79="x",4)+IF($C$80="x",1)-IF($I$77="x",2)-IF($I$90="x",2)+IF($I$83="x",2)-IF($C$83="x",4)-$C$112+IF(H239="x",1)+I239+$M$77+IF(H241="x",1)+IF(J241="x",1)+IF($M$76="x",2)+J239+IF($M$85="x",1)+IF($M$113="x",1)+IF($M$120="x",2)+IF($M$119="x",2)+IF($M$105="x",1)+IF($M$110="x",1)+IF($M$111="x",2)+IF($M$112="x",4)+IF($M$108="x",1)-IF($M$109="x",1)-IF($M$99="x",1)+IF($M$90="x",1)-IF($C$97="x",4,10)
&amp;"/"&amp;SUM($C$3,$I$2)-$C$120+IF($C$75="x",2)+$I$16-$B$10+$M$94+IF($C$77="x",2)-IF($C$78="x",4)-IF($I$78="x",1)-IF($C$79="x",4)+IF($C$80="x",1)-IF($I$77="x",2)-IF($I$90="x",2)+IF($I$83="x",2)-IF($C$83="x",4)-$C$112-5+IF(H239="x",1)+I239+$M$77+IF(H241="x",1)+IF(J241="x",1)+IF($M$76="x",2)+J239+IF($M$85="x",1)+IF($M$113="x",1)+IF($M$120="x",2)+IF($M$119="x",2)+IF($M$105="x",1)+IF($M$110="x",1)+IF($M$111="x",2)+IF($M$112="x",4)+IF($M$108="x",1)-IF($M$109="x",1)-IF($M$99="x",1)+IF($M$90="x",1)-IF($C$97="x",4,10)-5,
IF(AND($C$90="x",$C$118="x"),SUM($C$3,$I$2)-$C$120+IF($C$75="x",2)+$I$16-$B$10+$M$94+IF($C$77="x",2)-IF($C$78="x",4)-IF($I$78="x",1)-IF($C$79="x",4)+IF($C$80="x",1)-IF($I$77="x",2)-IF($I$90="x",2)+IF($I$83="x",2)-IF($C$83="x",4)-$C$112+IF(H239="x",1)+I239+$M$77+IF(H241="x",1)+IF(J241="x",1)+IF($M$76="x",2)+J239+IF($M$85="x",1)+IF($M$113="x",1)+IF($M$120="x",2)+IF($M$119="x",2)+IF($M$105="x",1)+IF($M$110="x",1)+IF($M$111="x",2)+IF($M$112="x",4)+IF($M$108="x",1)-IF($M$109="x",1)+IF($M$99="x",20)-IF($M$99="x",1)+IF($M$90="x",1)-IF($C$97="x",4,10)
&amp;"/"&amp;SUM($C$3,$I$2)-$C$120+IF($C$75="x",2)+$I$16-$B$10+$M$94+IF($C$77="x",2)-IF($C$78="x",4)-IF($I$78="x",1)-IF($C$79="x",4)+IF($C$80="x",1)-IF($I$77="x",2)-IF($I$90="x",2)+IF($I$83="x",2)-IF($C$83="x",4)-$C$112-5+IF(H239="x",1)+I239+$M$77+IF(H241="x",1)+IF(J241="x",1)+IF($M$76="x",2)+J239+IF($M$85="x",1)+IF($M$113="x",1)+IF($M$120="x",2)+IF($M$119="x",2)+IF($M$105="x",1)+IF($M$110="x",1)+IF($M$111="x",2)+IF($M$112="x",4)+IF($M$108="x",1)-IF($M$109="x",1)-IF($M$99="x",1)+IF($M$90="x",1)-IF($C$97="x",4,10)
&amp;"/"&amp;SUM($C$3,$I$2)-$C$120+IF($C$75="x",2)+$I$16-$B$10+$M$94+IF($C$77="x",2)-IF($C$78="x",4)-IF($I$78="x",1)-IF($C$79="x",4)+IF($C$80="x",1)-IF($I$77="x",2)-IF($I$90="x",2)+IF($I$83="x",2)-IF($C$83="x",4)-$C$112-10+IF(H239="x",1)+I239+$M$77+IF(H241="x",1)+IF(J241="x",1)+IF($M$76="x",2)+J239+IF($M$85="x",1)+IF($M$113="x",1)+IF($M$120="x",2)+IF($M$119="x",2)+IF($M$105="x",1)+IF($M$110="x",1)+IF($M$111="x",2)+IF($M$112="x",4)+IF($M$108="x",1)-IF($M$109="x",1)-IF($M$99="x",1)+IF($M$90="x",1)-IF($C$97="x",4,10)))))</f>
        <v>-10</v>
      </c>
      <c r="C243" s="54" t="str">
        <f>_xlfn.IFS($C$7="Minimaalinen","1n2",$C$7="Taskukokoinen","1n3",$C$7="Hyvin pieni","1n4",$C$7="Pieni","1n6",$C$7="Keskikokoinen","1n8",$C$7="Iso","2n6",$C$7="Valtava","3n6",$C$7="Suunnaton","4n6",$C$7="Giganttinen","6n6")</f>
        <v>1n8</v>
      </c>
      <c r="D243" s="123">
        <f>INT($I$2/2)+($C$120)+I239+$M$77+IF(I241="x",2)+IF(K241="x",2)+IF($M$119="x",2)+IF($M$108="x",1)+$M$94+K239-IF($M$109="x",1)</f>
        <v>0</v>
      </c>
      <c r="E243" s="54" t="str">
        <f>_xlfn.IFS($C$7="Minimaalinen","2n2",$C$7="Taskukokoinen","2n3",$C$7="Hyvin pieni","2n4",$C$7="Pieni","2n6",$C$7="Keskikokoinen","2n8",$C$7="Iso","4n6",$C$7="Valtava","6n6",$C$7="Suunnaton","8n6",$C$7="Giganttinen","12n6")</f>
        <v>2n8</v>
      </c>
      <c r="F243" s="124">
        <f>SUM(D243*2)</f>
        <v>0</v>
      </c>
      <c r="G243" s="124" t="str">
        <f>(IF($I$89="x","50 %","")&amp;(IF($C$81="x","20 %",""))&amp;(IF($C$82="x","50 %","")))</f>
        <v/>
      </c>
      <c r="H243" s="28"/>
      <c r="K243" s="82"/>
      <c r="AB243" s="57"/>
      <c r="AC243" s="40"/>
      <c r="AD243" s="49"/>
      <c r="AE243" s="117"/>
      <c r="AF243" s="49"/>
      <c r="AG243" s="40"/>
      <c r="AH243" s="40"/>
      <c r="AI243" s="40"/>
      <c r="AJ243" s="40"/>
      <c r="AK243" s="40"/>
      <c r="AL243" s="40"/>
    </row>
    <row r="244" spans="1:38" x14ac:dyDescent="0.2">
      <c r="A244" s="125" t="s">
        <v>250</v>
      </c>
      <c r="B244" s="25"/>
      <c r="C244" s="25"/>
      <c r="D244" s="25"/>
      <c r="E244" s="25"/>
      <c r="F244" s="25"/>
      <c r="G244" s="25"/>
      <c r="H244" s="25"/>
      <c r="I244" s="25"/>
      <c r="J244" s="25"/>
      <c r="K244" s="25"/>
      <c r="AB244" s="47"/>
      <c r="AC244" s="113"/>
      <c r="AD244" s="114"/>
      <c r="AE244" s="113"/>
      <c r="AF244" s="114"/>
      <c r="AG244" s="114"/>
      <c r="AH244" s="114"/>
      <c r="AI244" s="48"/>
      <c r="AJ244" s="48"/>
      <c r="AK244" s="48"/>
      <c r="AL244" s="48"/>
    </row>
    <row r="245" spans="1:38" x14ac:dyDescent="0.2">
      <c r="A245" s="126">
        <f>IF($C$98="x",10*1.5,10)</f>
        <v>10</v>
      </c>
      <c r="B245" s="121">
        <f>_xlfn.IFS($I$85="x",
"PAINISSA",
$C$106="",
SUM($C$3,$I$3)+IF(H243="x",1)+$I$16-$B$10+$M$94+IF($C$77="x",2)-IF($C$78="x",4)-IF($I$78="x",1)-IF($I$77="x",2)-IF($I$90="x",2)+IF($I$83="x",2)-IF($C$76="x",4)-$C$112+IF(H239="x",1)+I239+$M$77+IF(H241="x",1)+IF(J241="x",1)+IF($M$76="x",2)+J239+IF($M$85="x",1)+IF($M$113="x",1)+IF($M$120="x",2)+IF($M$119="x",2)+IF($M$105="x",1)+IF($M$110="x",1)+IF($M$111="x",2)+IF($M$112="x",4)+IF($M$108="x",1)-IF($M$109="x",1)-IF($M$99="x",1)+IF($M$90="x",1),
$B$3&lt;6,
SUM($C$3,$I$3)+IF(H243="x",1)+$I$16-$B$10+$M$94+IF($C$77="x",2)-IF($C$78="x",4)-IF($I$78="x",1)-IF($I$77="x",2)-IF($I$90="x",2)+IF($I$83="x",2)-IF($C$76="x",4)-$C$112+IF(H239="x",1)+I239+$M$77+IF(H241="x",1)+IF(J241="x",1)+IF($M$76="x",2)+J239+IF($M$85="x",1)+IF($M$113="x",1)+IF($M$120="x",2)+IF($M$119="x",2)+IF($M$105="x",1)+IF($M$110="x",1)+IF($M$111="x",2)+IF($M$112="x",4)+IF($M$108="x",1)-IF($M$109="x",1)-IF($M$99="x",1)+IF($M$90="x",1),
$B$3&lt;11,
SUM($C$3,$I$3)+IF(H243="x",1)+$I$16-$B$10+$M$94+IF($C$77="x",2)-IF($C$78="x",4)-IF($I$78="x",1)-IF($I$77="x",2)-IF($I$90="x",2)+IF($I$83="x",2)-IF($C$76="x",4)-$C$112+IF(H239="x",1)+I239+$M$77+IF(H241="x",1)+IF(J241="x",1)+IF($M$76="x",2)+J239+IF($M$85="x",1)+IF($M$113="x",1)+IF($M$120="x",2)+IF($M$119="x",2)+IF($M$105="x",1)+IF($M$110="x",1)+IF($M$111="x",2)+IF($M$112="x",4)+IF($M$108="x",1)-IF($M$109="x",1)-IF($M$99="x",1)+IF($M$90="x",1)
&amp;"/"&amp;SUM($C$3,$I$3)+IF(H243="x",1)+$I$16-$B$10+$M$94+IF($C$77="x",2)-IF($C$78="x",4)-IF($I$78="x",1)-IF($I$77="x",2)-IF($I$90="x",2)+IF($I$83="x",2)-IF($C$76="x",4)-$C$112+IF(H239="x",1)+I239+$M$77+IF(H241="x",1)+IF(J241="x",1)+IF($M$76="x",2)+J239+IF($M$85="x",1)+IF($M$113="x",1)+IF($M$120="x",2)+IF($M$119="x",2)+IF($M$105="x",1)+IF($M$110="x",1)+IF($M$111="x",2)+IF($M$112="x",4)+IF($M$108="x",1)-IF($M$109="x",1)-IF($M$99="x",1)+IF($M$90="x",1)-5,
$B$3&lt;16,
SUM($C$3,$I$3)+IF(H243="x",1)+$I$16-$B$10+$M$94+IF($C$77="x",2)-IF($C$78="x",4)-IF($I$78="x",1)-IF($I$77="x",2)-IF($I$90="x",2)+IF($I$83="x",2)-IF($C$76="x",4)-$C$112+IF(H239="x",1)+I239+$M$77+IF(H241="x",1)+IF(J241="x",1)+IF($M$76="x",2)+J239+IF($M$85="x",1)+IF($M$113="x",1)+IF($M$120="x",2)+IF($M$119="x",2)+IF($M$105="x",1)+IF($M$110="x",1)+IF($M$111="x",2)+IF($M$112="x",4)+IF($M$108="x",1)-IF($M$109="x",1)-IF($M$99="x",1)+IF($M$90="x",1)
&amp;"/"&amp;SUM($C$3,$I$3)+IF(H243="x",1)+$I$16-$B$10+$M$94+IF($C$77="x",2)-IF($C$78="x",4)-IF($I$78="x",1)-IF($I$77="x",2)-IF($I$90="x",2)+IF($I$83="x",2)-IF($C$76="x",4)-$C$112+IF(H239="x",1)+I239+$M$77+IF(H241="x",1)+IF(J241="x",1)+IF($M$76="x",2)+J239+IF($M$85="x",1)+IF($M$113="x",1)+IF($M$120="x",2)+IF($M$119="x",2)+IF($M$105="x",1)+IF($M$110="x",1)+IF($M$111="x",2)+IF($M$112="x",4)+IF($M$108="x",1)-IF($M$109="x",1)-IF($M$99="x",1)+IF($M$90="x",1)-5
&amp;"/"&amp;SUM($C$3,$I$3)+IF(H243="x",1)+$I$16-$B$10+$M$94+IF($C$77="x",2)-IF($C$78="x",4)-IF($I$78="x",1)-IF($I$77="x",2)-IF($I$90="x",2)+IF($I$83="x",2)-IF($C$76="x",4)-$C$112+IF(H239="x",1)+I239+$M$77+IF(H241="x",1)+IF(J241="x",1)+IF($M$76="x",2)+J239+IF($M$85="x",1)+IF($M$113="x",1)+IF($M$120="x",2)+IF($M$119="x",2)+IF($M$105="x",1)+IF($M$110="x",1)+IF($M$111="x",2)+IF($M$112="x",4)+IF($M$108="x",1)-IF($M$109="x",1)-IF($M$99="x",1)+IF($M$90="x",1)-10,
$B$3&gt;=16,
SUM($C$3,$I$3)+IF(H243="x",1)+$I$16-$B$10+$M$94+IF($C$77="x",2)-IF($C$78="x",4)-IF($I$78="x",1)-IF($I$77="x",2)-IF($I$90="x",2)+IF($I$83="x",2)-IF($C$76="x",4)-$C$112+IF(H239="x",1)+I239+$M$77+IF(H241="x",1)+IF(J241="x",1)+IF($M$76="x",2)+J239+IF($M$85="x",1)+IF($M$113="x",1)+IF($M$120="x",2)+IF($M$119="x",2)+IF($M$105="x",1)+IF($M$110="x",1)+IF($M$111="x",2)+IF($M$112="x",4)+IF($M$108="x",1)-IF($M$109="x",1)-IF($M$99="x",1)+IF($M$90="x",1)
&amp;"/"&amp;SUM($C$3,$I$3)+IF(H243="x",1)+$I$16-$B$10+$M$94+IF($C$77="x",2)-IF($C$78="x",4)-IF($I$78="x",1)-IF($I$77="x",2)-IF($I$90="x",2)+IF($I$83="x",2)-IF($C$76="x",4)-$C$112+IF(H239="x",1)+I239+$M$77+IF(H241="x",1)+IF(J241="x",1)+IF($M$76="x",2)+J239+IF($M$85="x",1)+IF($M$113="x",1)+IF($M$120="x",2)+IF($M$119="x",2)+IF($M$105="x",1)+IF($M$110="x",1)+IF($M$111="x",2)+IF($M$112="x",4)+IF($M$108="x",1)-IF($M$109="x",1)-IF($M$99="x",1)+IF($M$90="x",1)-5
&amp;"/"&amp;SUM($C$3,$I$3)+IF(H243="x",1)+$I$16-$B$10+$M$94+IF($C$77="x",2)-IF($C$78="x",4)-IF($I$78="x",1)-IF($I$77="x",2)-IF($I$90="x",2)+IF($I$83="x",2)-IF($C$76="x",4)-$C$112+IF(H239="x",1)+I239+$M$77+IF(H241="x",1)+IF(J241="x",1)+IF($M$76="x",2)+J239+IF($M$85="x",1)+IF($M$113="x",1)+IF($M$120="x",2)+IF($M$119="x",2)+IF($M$105="x",1)+IF($M$110="x",1)+IF($M$111="x",2)+IF($M$112="x",4)+IF($M$108="x",1)-IF($M$109="x",1)-IF($M$99="x",1)+IF($M$90="x",1)-10
&amp;"/"&amp;SUM($C$3,$I$3)+IF(H243="x",1)+$I$16-$B$10+$M$94+IF($C$77="x",2)-IF($C$78="x",4)-IF($I$78="x",1)-IF($I$77="x",2)-IF($I$90="x",2)+IF($I$83="x",2)-IF($C$76="x",4)-$C$112+IF(H239="x",1)+I239+$M$77+IF(H241="x",1)+IF(J241="x",1)+IF($M$76="x",2)+J239+IF($M$85="x",1)+IF($M$113="x",1)+IF($M$120="x",2)+IF($M$119="x",2)+IF($M$105="x",1)+IF($M$110="x",1)+IF($M$111="x",2)+IF($M$112="x",4)+IF($M$108="x",1)-IF($M$109="x",1)-IF($M$99="x",1)+IF($M$90="x",1)-15)</f>
        <v>0</v>
      </c>
      <c r="C245" s="49" t="str">
        <f>_xlfn.IFS($C$7="Minimaalinen","1n2",$C$7="Taskukokoinen","1n3",$C$7="Hyvin pieni","1n4",$C$7="Pieni","1n6",$C$7="Keskikokoinen","1n8",$C$7="Iso","2n6",$C$7="Valtava","3n6",$C$7="Suunnaton","4n6",$C$7="Giganttinen","6n6")</f>
        <v>1n8</v>
      </c>
      <c r="D245" s="51">
        <f>SUM($I$2+$C$120)+I239+$M$77+IF(I241="x",2)+IF(K241="x",2)+IF($M$119="x",2)+IF($M$108="x",1)+$M$94-IF($M$109="x",1)+K239+IF(H243="x",1)</f>
        <v>0</v>
      </c>
      <c r="E245" s="49" t="str">
        <f>_xlfn.IFS($C$7="Minimaalinen","2n2",$C$7="Taskukokoinen","2n3",$C$7="Hyvin pieni","2n4",$C$7="Pieni","2n6",$C$7="Keskikokoinen","2n8",$C$7="Iso","4n6",$C$7="Valtava","6n6",$C$7="Suunnaton","8n6",$C$7="Giganttinen","12n6")</f>
        <v>2n8</v>
      </c>
      <c r="F245" s="82">
        <f>SUM(D245*2)</f>
        <v>0</v>
      </c>
      <c r="G245" s="82" t="str">
        <f>(IF($I$89="x","50 %","")&amp;(IF($C$81="x","20 %",""))&amp;(IF($C$82="x","50 %","")))</f>
        <v/>
      </c>
      <c r="H245" s="25"/>
      <c r="I245" s="25"/>
      <c r="J245" s="25"/>
      <c r="K245" s="25"/>
      <c r="AB245" s="56"/>
      <c r="AC245" s="51"/>
      <c r="AD245" s="49"/>
      <c r="AE245" s="51"/>
      <c r="AF245" s="49"/>
      <c r="AG245" s="40"/>
      <c r="AH245" s="49"/>
      <c r="AI245" s="40"/>
      <c r="AJ245" s="40"/>
      <c r="AK245" s="40"/>
      <c r="AL245" s="40"/>
    </row>
    <row r="246" spans="1:38" x14ac:dyDescent="0.2">
      <c r="A246" s="127">
        <f>A245*2</f>
        <v>20</v>
      </c>
      <c r="B246" s="123">
        <f>_xlfn.IFS($I$85="x",
"PAINISSA",
$C$106="",
SUM($C$3,$I$3)+IF(H243="x",1)+$I$16-$B$10+$M$94+IF($C$77="x",2)-IF($C$78="x",4)-IF($I$78="x",1)-IF($I$77="x",2)-IF($I$90="x",2)+IF($I$83="x",2)-IF($C$76="x",4)-$C$112+IF(H239="x",1)+I239+$M$77+IF(H241="x",1)+IF(J241="x",1)+IF($M$76="x",2)+J239+IF($M$85="x",1)+IF($M$113="x",1)+IF($M$120="x",2)+IF($M$119="x",2)+IF($M$105="x",1)+IF($M$110="x",1)+IF($M$111="x",2)+IF($M$112="x",4)+IF($M$108="x",1)-IF($M$109="x",1)-IF($M$99="x",1)+IF($M$90="x",1)-2,
$B$3&lt;6,
SUM($C$3,$I$3)+IF(H243="x",1)+$I$16-$B$10+$M$94+IF($C$77="x",2)-IF($C$78="x",4)-IF($I$78="x",1)-IF($I$77="x",2)-IF($I$90="x",2)+IF($I$83="x",2)-IF($C$76="x",4)-$C$112+IF(H239="x",1)+I239+$M$77+IF(H241="x",1)+IF(J241="x",1)+IF($M$76="x",2)+J239+IF($M$85="x",1)+IF($M$113="x",1)+IF($M$120="x",2)+IF($M$119="x",2)+IF($M$105="x",1)+IF($M$110="x",1)+IF($M$111="x",2)+IF($M$112="x",4)+IF($M$108="x",1)-IF($M$109="x",1)-IF($M$99="x",1)+IF($M$90="x",1)-2,
$B$3&lt;11,
SUM($C$3,$I$3)+IF(H243="x",1)+$I$16-$B$10+$M$94+IF($C$77="x",2)-IF($C$78="x",4)-IF($I$78="x",1)-IF($I$77="x",2)-IF($I$90="x",2)+IF($I$83="x",2)-IF($C$76="x",4)-$C$112+IF(H239="x",1)+I239+$M$77+IF(H241="x",1)+IF(J241="x",1)+IF($M$76="x",2)+J239+IF($M$85="x",1)+IF($M$113="x",1)+IF($M$120="x",2)+IF($M$119="x",2)+IF($M$105="x",1)+IF($M$110="x",1)+IF($M$111="x",2)+IF($M$112="x",4)+IF($M$108="x",1)-IF($M$109="x",1)-IF($M$99="x",1)+IF($M$90="x",1)-2
&amp;"/"&amp;SUM($C$3,$I$3)+IF(H243="x",1)+$I$16-$B$10+$M$94+IF($C$77="x",2)-IF($C$78="x",4)-IF($I$78="x",1)-IF($I$77="x",2)-IF($I$90="x",2)+IF($I$83="x",2)-IF($C$76="x",4)-$C$112+IF(H239="x",1)+I239+$M$77+IF(H241="x",1)+IF(J241="x",1)+IF($M$76="x",2)+J239+IF($M$85="x",1)+IF($M$113="x",1)+IF($M$120="x",2)+IF($M$119="x",2)+IF($M$105="x",1)+IF($M$110="x",1)+IF($M$111="x",2)+IF($M$112="x",4)+IF($M$108="x",1)-IF($M$109="x",1)-IF($M$99="x",1)+IF($M$90="x",1)-5-2,
$B$3&lt;16,
SUM($C$3,$I$3)+IF(H243="x",1)+$I$16-$B$10+$M$94+IF($C$77="x",2)-IF($C$78="x",4)-IF($I$78="x",1)-IF($I$77="x",2)-IF($I$90="x",2)+IF($I$83="x",2)-IF($C$76="x",4)-$C$112+IF(H239="x",1)+I239+$M$77+IF(H241="x",1)+IF(J241="x",1)+IF($M$76="x",2)+J239+IF($M$85="x",1)+IF($M$113="x",1)+IF($M$120="x",2)+IF($M$119="x",2)+IF($M$105="x",1)+IF($M$110="x",1)+IF($M$111="x",2)+IF($M$112="x",4)+IF($M$108="x",1)-IF($M$109="x",1)-IF($M$99="x",1)+IF($M$90="x",1)-2
&amp;"/"&amp;SUM($C$3,$I$3)+IF(H243="x",1)+$I$16-$B$10+$M$94+IF($C$77="x",2)-IF($C$78="x",4)-IF($I$78="x",1)-IF($I$77="x",2)-IF($I$90="x",2)+IF($I$83="x",2)-IF($C$76="x",4)-$C$112+IF(H239="x",1)+I239+$M$77+IF(H241="x",1)+IF(J241="x",1)+IF($M$76="x",2)+J239+IF($M$85="x",1)+IF($M$113="x",1)+IF($M$120="x",2)+IF($M$119="x",2)+IF($M$105="x",1)+IF($M$110="x",1)+IF($M$111="x",2)+IF($M$112="x",4)+IF($M$108="x",1)-IF($M$109="x",1)-IF($M$99="x",1)+IF($M$90="x",1)-5-2
&amp;"/"&amp;SUM($C$3,$I$3)+IF(H243="x",1)+$I$16-$B$10+$M$94+IF($C$77="x",2)-IF($C$78="x",4)-IF($I$78="x",1)-IF($I$77="x",2)-IF($I$90="x",2)+IF($I$83="x",2)-IF($C$76="x",4)-$C$112+IF(H239="x",1)+I239+$M$77+IF(H241="x",1)+IF(J241="x",1)+IF($M$76="x",2)+J239+IF($M$85="x",1)+IF($M$113="x",1)+IF($M$120="x",2)+IF($M$119="x",2)+IF($M$105="x",1)+IF($M$110="x",1)+IF($M$111="x",2)+IF($M$112="x",4)+IF($M$108="x",1)-IF($M$109="x",1)-IF($M$99="x",1)+IF($M$90="x",1)-10-2,
$B$3&gt;=16,
SUM($C$3,$I$3)+IF(H243="x",1)+$I$16-$B$10+$M$94+IF($C$77="x",2)-IF($C$78="x",4)-IF($I$78="x",1)-IF($I$77="x",2)-IF($I$90="x",2)+IF($I$83="x",2)-IF($C$76="x",4)-$C$112+IF(H239="x",1)+I239+$M$77+IF(H241="x",1)+IF(J241="x",1)+IF($M$76="x",2)+J239+IF($M$85="x",1)+IF($M$113="x",1)+IF($M$120="x",2)+IF($M$119="x",2)+IF($M$105="x",1)+IF($M$110="x",1)+IF($M$111="x",2)+IF($M$112="x",4)+IF($M$108="x",1)-IF($M$109="x",1)-IF($M$99="x",1)+IF($M$90="x",1)-2
&amp;"/"&amp;SUM($C$3,$I$3)+IF(H243="x",1)+$I$16-$B$10+$M$94+IF($C$77="x",2)-IF($C$78="x",4)-IF($I$78="x",1)-IF($I$77="x",2)-IF($I$90="x",2)+IF($I$83="x",2)-IF($C$76="x",4)-$C$112+IF(H239="x",1)+I239+$M$77+IF(H241="x",1)+IF(J241="x",1)+IF($M$76="x",2)+J239+IF($M$85="x",1)+IF($M$113="x",1)+IF($M$120="x",2)+IF($M$119="x",2)+IF($M$105="x",1)+IF($M$110="x",1)+IF($M$111="x",2)+IF($M$112="x",4)+IF($M$108="x",1)-IF($M$109="x",1)-IF($M$99="x",1)+IF($M$90="x",1)-5-2
&amp;"/"&amp;SUM($C$3,$I$3)+IF(H243="x",1)+$I$16-$B$10+$M$94+IF($C$77="x",2)-IF($C$78="x",4)-IF($I$78="x",1)-IF($I$77="x",2)-IF($I$90="x",2)+IF($I$83="x",2)-IF($C$76="x",4)-$C$112+IF(H239="x",1)+I239+$M$77+IF(H241="x",1)+IF(J241="x",1)+IF($M$76="x",2)+J239+IF($M$85="x",1)+IF($M$113="x",1)+IF($M$120="x",2)+IF($M$119="x",2)+IF($M$105="x",1)+IF($M$110="x",1)+IF($M$111="x",2)+IF($M$112="x",4)+IF($M$108="x",1)-IF($M$109="x",1)-IF($M$99="x",1)+IF($M$90="x",1)-10-2
&amp;"/"&amp;SUM($C$3,$I$3)+IF(H243="x",1)+$I$16-$B$10+$M$94+IF($C$77="x",2)-IF($C$78="x",4)-IF($I$78="x",1)-IF($I$77="x",2)-IF($I$90="x",2)+IF($I$83="x",2)-IF($C$76="x",4)-$C$112+IF(H239="x",1)+I239+$M$77+IF(H241="x",1)+IF(J241="x",1)+IF($M$76="x",2)+J239+IF($M$85="x",1)+IF($M$113="x",1)+IF($M$120="x",2)+IF($M$119="x",2)+IF($M$105="x",1)+IF($M$110="x",1)+IF($M$111="x",2)+IF($M$112="x",4)+IF($M$108="x",1)-IF($M$109="x",1)-IF($M$99="x",1)+IF($M$90="x",1)-15-2)</f>
        <v>-2</v>
      </c>
      <c r="C246" s="82"/>
      <c r="D246" s="121"/>
      <c r="E246" s="82"/>
      <c r="F246" s="82"/>
      <c r="G246" s="123" t="str">
        <f>(IF($I$89="x","50 %","")&amp;(IF($C$81="x","20 %",""))&amp;(IF($C$82="x","50 %","")))</f>
        <v/>
      </c>
      <c r="H246" s="25"/>
      <c r="I246" s="25"/>
      <c r="J246" s="25"/>
      <c r="K246" s="25"/>
      <c r="AB246" s="56"/>
      <c r="AC246" s="49"/>
      <c r="AD246" s="49"/>
      <c r="AE246" s="51"/>
      <c r="AF246" s="49"/>
      <c r="AG246" s="40"/>
      <c r="AH246" s="49"/>
      <c r="AI246" s="48"/>
      <c r="AJ246" s="57"/>
      <c r="AK246" s="57"/>
      <c r="AL246" s="57"/>
    </row>
    <row r="247" spans="1:38" x14ac:dyDescent="0.2">
      <c r="A247" s="126">
        <f>A245*3</f>
        <v>30</v>
      </c>
      <c r="B247" s="121">
        <f>_xlfn.IFS($I$85="x",
"PAINISSA",
$C$106="",
SUM($C$3,$I$3)+IF(H243="x",1)+$I$16-$B$10+$M$94+IF($C$77="x",2)-IF($C$78="x",4)-IF($I$78="x",1)-IF($I$77="x",2)-IF($I$90="x",2)+IF($I$83="x",2)-IF($C$76="x",4)-$C$112+IF(H239="x",1)+I239+$M$77+IF(H241="x",1)+IF(J241="x",1)+IF($M$76="x",2)+J239+IF($M$85="x",1)+IF($M$113="x",1)+IF($M$120="x",2)+IF($M$119="x",2)+IF($M$105="x",1)+IF($M$110="x",1)+IF($M$111="x",2)+IF($M$112="x",4)+IF($M$108="x",1)-IF($M$109="x",1)-IF($M$99="x",1)+IF($M$90="x",1)-4,
$B$3&lt;6,
SUM($C$3,$I$3)+IF(H243="x",1)+$I$16-$B$10+$M$94+IF($C$77="x",2)-IF($C$78="x",4)-IF($I$78="x",1)-IF($I$77="x",2)-IF($I$90="x",2)+IF($I$83="x",2)-IF($C$76="x",4)-$C$112+IF(H239="x",1)+I239+$M$77+IF(H241="x",1)+IF(J241="x",1)+IF($M$76="x",2)+J239+IF($M$85="x",1)+IF($M$113="x",1)+IF($M$120="x",2)+IF($M$119="x",2)+IF($M$105="x",1)+IF($M$110="x",1)+IF($M$111="x",2)+IF($M$112="x",4)+IF($M$108="x",1)-IF($M$109="x",1)-IF($M$99="x",1)+IF($M$90="x",1)-4,
$B$3&lt;11,
SUM($C$3,$I$3)+IF(H243="x",1)+$I$16-$B$10+$M$94+IF($C$77="x",2)-IF($C$78="x",4)-IF($I$78="x",1)-IF($I$77="x",2)-IF($I$90="x",2)+IF($I$83="x",2)-IF($C$76="x",4)-$C$112+IF(H239="x",1)+I239+$M$77+IF(H241="x",1)+IF(J241="x",1)+IF($M$76="x",2)+J239+IF($M$85="x",1)+IF($M$113="x",1)+IF($M$120="x",2)+IF($M$119="x",2)+IF($M$105="x",1)+IF($M$110="x",1)+IF($M$111="x",2)+IF($M$112="x",4)+IF($M$108="x",1)-IF($M$109="x",1)-IF($M$99="x",1)+IF($M$90="x",1)-4
&amp;"/"&amp;SUM($C$3,$I$3)+IF(H243="x",1)+$I$16-$B$10+$M$94+IF($C$77="x",2)-IF($C$78="x",4)-IF($I$78="x",1)-IF($I$77="x",2)-IF($I$90="x",2)+IF($I$83="x",2)-IF($C$76="x",4)-$C$112+IF(H239="x",1)+I239+$M$77+IF(H241="x",1)+IF(J241="x",1)+IF($M$76="x",2)+J239+IF($M$85="x",1)+IF($M$113="x",1)+IF($M$120="x",2)+IF($M$119="x",2)+IF($M$105="x",1)+IF($M$110="x",1)+IF($M$111="x",2)+IF($M$112="x",4)+IF($M$108="x",1)-IF($M$109="x",1)-IF($M$99="x",1)+IF($M$90="x",1)-5-4,
$B$3&lt;16,
SUM($C$3,$I$3)+IF(H243="x",1)+$I$16-$B$10+$M$94+IF($C$77="x",2)-IF($C$78="x",4)-IF($I$78="x",1)-IF($I$77="x",2)-IF($I$90="x",2)+IF($I$83="x",2)-IF($C$76="x",4)-$C$112+IF(H239="x",1)+I239+$M$77+IF(H241="x",1)+IF(J241="x",1)+IF($M$76="x",2)+J239+IF($M$85="x",1)+IF($M$113="x",1)+IF($M$120="x",2)+IF($M$119="x",2)+IF($M$105="x",1)+IF($M$110="x",1)+IF($M$111="x",2)+IF($M$112="x",4)+IF($M$108="x",1)-IF($M$109="x",1)-IF($M$99="x",1)+IF($M$90="x",1)-4
&amp;"/"&amp;SUM($C$3,$I$3)+IF(H243="x",1)+$I$16-$B$10+$M$94+IF($C$77="x",2)-IF($C$78="x",4)-IF($I$78="x",1)-IF($I$77="x",2)-IF($I$90="x",2)+IF($I$83="x",2)-IF($C$76="x",4)-$C$112+IF(H239="x",1)+I239+$M$77+IF(H241="x",1)+IF(J241="x",1)+IF($M$76="x",2)+J239+IF($M$85="x",1)+IF($M$113="x",1)+IF($M$120="x",2)+IF($M$119="x",2)+IF($M$105="x",1)+IF($M$110="x",1)+IF($M$111="x",2)+IF($M$112="x",4)+IF($M$108="x",1)-IF($M$109="x",1)-IF($M$99="x",1)+IF($M$90="x",1)-5-4
&amp;"/"&amp;SUM($C$3,$I$3)+IF(H243="x",1)+$I$16-$B$10+$M$94+IF($C$77="x",2)-IF($C$78="x",4)-IF($I$78="x",1)-IF($I$77="x",2)-IF($I$90="x",2)+IF($I$83="x",2)-IF($C$76="x",4)-$C$112+IF(H239="x",1)+I239+$M$77+IF(H241="x",1)+IF(J241="x",1)+IF($M$76="x",2)+J239+IF($M$85="x",1)+IF($M$113="x",1)+IF($M$120="x",2)+IF($M$119="x",2)+IF($M$105="x",1)+IF($M$110="x",1)+IF($M$111="x",2)+IF($M$112="x",4)+IF($M$108="x",1)-IF($M$109="x",1)-IF($M$99="x",1)+IF($M$90="x",1)-10-4,
$B$3&gt;=16,
SUM($C$3,$I$3)+IF(H243="x",1)+$I$16-$B$10+$M$94+IF($C$77="x",2)-IF($C$78="x",4)-IF($I$78="x",1)-IF($I$77="x",2)-IF($I$90="x",2)+IF($I$83="x",2)-IF($C$76="x",4)-$C$112+IF(H239="x",1)+I239+$M$77+IF(H241="x",1)+IF(J241="x",1)+IF($M$76="x",2)+J239+IF($M$85="x",1)+IF($M$113="x",1)+IF($M$120="x",2)+IF($M$119="x",2)+IF($M$105="x",1)+IF($M$110="x",1)+IF($M$111="x",2)+IF($M$112="x",4)+IF($M$108="x",1)-IF($M$109="x",1)-IF($M$99="x",1)+IF($M$90="x",1)-4
&amp;"/"&amp;SUM($C$3,$I$3)+IF(H243="x",1)+$I$16-$B$10+$M$94+IF($C$77="x",2)-IF($C$78="x",4)-IF($I$78="x",1)-IF($I$77="x",2)-IF($I$90="x",2)+IF($I$83="x",2)-IF($C$76="x",4)-$C$112+IF(H239="x",1)+I239+$M$77+IF(H241="x",1)+IF(J241="x",1)+IF($M$76="x",2)+J239+IF($M$85="x",1)+IF($M$113="x",1)+IF($M$120="x",2)+IF($M$119="x",2)+IF($M$105="x",1)+IF($M$110="x",1)+IF($M$111="x",2)+IF($M$112="x",4)+IF($M$108="x",1)-IF($M$109="x",1)-IF($M$99="x",1)+IF($M$90="x",1)-5-4
&amp;"/"&amp;SUM($C$3,$I$3)+IF(H243="x",1)+$I$16-$B$10+$M$94+IF($C$77="x",2)-IF($C$78="x",4)-IF($I$78="x",1)-IF($I$77="x",2)-IF($I$90="x",2)+IF($I$83="x",2)-IF($C$76="x",4)-$C$112+IF(H239="x",1)+I239+$M$77+IF(H241="x",1)+IF(J241="x",1)+IF($M$76="x",2)+J239+IF($M$85="x",1)+IF($M$113="x",1)+IF($M$120="x",2)+IF($M$119="x",2)+IF($M$105="x",1)+IF($M$110="x",1)+IF($M$111="x",2)+IF($M$112="x",4)+IF($M$108="x",1)-IF($M$109="x",1)-IF($M$99="x",1)+IF($M$90="x",1)-10-4
&amp;"/"&amp;SUM($C$3,$I$3)+IF(H243="x",1)+$I$16-$B$10+$M$94+IF($C$77="x",2)-IF($C$78="x",4)-IF($I$78="x",1)-IF($I$77="x",2)-IF($I$90="x",2)+IF($I$83="x",2)-IF($C$76="x",4)-$C$112+IF(H239="x",1)+I239+$M$77+IF(H241="x",1)+IF(J241="x",1)+IF($M$76="x",2)+J239+IF($M$85="x",1)+IF($M$113="x",1)+IF($M$120="x",2)+IF($M$119="x",2)+IF($M$105="x",1)+IF($M$110="x",1)+IF($M$111="x",2)+IF($M$112="x",4)+IF($M$108="x",1)-IF($M$109="x",1)-IF($M$99="x",1)+IF($M$90="x",1)-15-4)</f>
        <v>-4</v>
      </c>
      <c r="C247" s="82"/>
      <c r="D247" s="121"/>
      <c r="E247" s="82"/>
      <c r="F247" s="82"/>
      <c r="G247" s="82" t="str">
        <f>(IF($I$89="x","50 %","")&amp;(IF($C$81="x","20 %",""))&amp;(IF($C$82="x","50 %","")))</f>
        <v/>
      </c>
      <c r="H247" s="15"/>
      <c r="I247" s="15"/>
      <c r="AB247" s="52"/>
      <c r="AC247" s="53"/>
      <c r="AD247" s="54"/>
      <c r="AE247" s="53"/>
      <c r="AF247" s="54"/>
      <c r="AG247" s="54"/>
      <c r="AH247" s="54"/>
      <c r="AI247" s="40"/>
      <c r="AJ247" s="60"/>
      <c r="AK247" s="57"/>
      <c r="AL247" s="61"/>
    </row>
    <row r="248" spans="1:38" x14ac:dyDescent="0.2">
      <c r="A248" s="127">
        <f>A245*4</f>
        <v>40</v>
      </c>
      <c r="B248" s="123">
        <f>_xlfn.IFS($I$85="x",
"PAINISSA",
$C$106="",
SUM($C$3,$I$3)+IF(H243="x",1)+$I$16-$B$10+$M$94+IF($C$77="x",2)-IF($C$78="x",4)-IF($I$78="x",1)-IF($I$77="x",2)-IF($I$90="x",2)+IF($I$83="x",2)-IF($C$76="x",4)-$C$112+IF(H239="x",1)+I239+$M$77+IF(H241="x",1)+IF(J241="x",1)+IF($M$76="x",2)+J239+IF($M$85="x",1)+IF($M$113="x",1)+IF($M$120="x",2)+IF($M$119="x",2)+IF($M$105="x",1)+IF($M$110="x",1)+IF($M$111="x",2)+IF($M$112="x",4)+IF($M$108="x",1)-IF($M$109="x",1)-IF($M$99="x",1)+IF($M$90="x",1)-6,
$B$3&lt;6,
SUM($C$3,$I$3)+IF(H243="x",1)+$I$16-$B$10+$M$94+IF($C$77="x",2)-IF($C$78="x",4)-IF($I$78="x",1)-IF($I$77="x",2)-IF($I$90="x",2)+IF($I$83="x",2)-IF($C$76="x",4)-$C$112+IF(H239="x",1)+I239+$M$77+IF(H241="x",1)+IF(J241="x",1)+IF($M$76="x",2)+J239+IF($M$85="x",1)+IF($M$113="x",1)+IF($M$120="x",2)+IF($M$119="x",2)+IF($M$105="x",1)+IF($M$110="x",1)+IF($M$111="x",2)+IF($M$112="x",4)+IF($M$108="x",1)-IF($M$109="x",1)-IF($M$99="x",1)+IF($M$90="x",1)-6,
$B$3&lt;11,
SUM($C$3,$I$3)+IF(H243="x",1)+$I$16-$B$10+$M$94+IF($C$77="x",2)-IF($C$78="x",4)-IF($I$78="x",1)-IF($I$77="x",2)-IF($I$90="x",2)+IF($I$83="x",2)-IF($C$76="x",4)-$C$112+IF(H239="x",1)+I239+$M$77+IF(H241="x",1)+IF(J241="x",1)+IF($M$76="x",2)+J239+IF($M$85="x",1)+IF($M$113="x",1)+IF($M$120="x",2)+IF($M$119="x",2)+IF($M$105="x",1)+IF($M$110="x",1)+IF($M$111="x",2)+IF($M$112="x",4)+IF($M$108="x",1)-IF($M$109="x",1)-IF($M$99="x",1)+IF($M$90="x",1)-6
&amp;"/"&amp;SUM($C$3,$I$3)+IF(H243="x",1)+$I$16-$B$10+$M$94+IF($C$77="x",2)-IF($C$78="x",4)-IF($I$78="x",1)-IF($I$77="x",2)-IF($I$90="x",2)+IF($I$83="x",2)-IF($C$76="x",4)-$C$112+IF(H239="x",1)+I239+$M$77+IF(H241="x",1)+IF(J241="x",1)+IF($M$76="x",2)+J239+IF($M$85="x",1)+IF($M$113="x",1)+IF($M$120="x",2)+IF($M$119="x",2)+IF($M$105="x",1)+IF($M$110="x",1)+IF($M$111="x",2)+IF($M$112="x",4)+IF($M$108="x",1)-IF($M$109="x",1)-IF($M$99="x",1)+IF($M$90="x",1)-5-6,
$B$3&lt;16,
SUM($C$3,$I$3)+IF(H243="x",1)+$I$16-$B$10+$M$94+IF($C$77="x",2)-IF($C$78="x",4)-IF($I$78="x",1)-IF($I$77="x",2)-IF($I$90="x",2)+IF($I$83="x",2)-IF($C$76="x",4)-$C$112+IF(H239="x",1)+I239+$M$77+IF(H241="x",1)+IF(J241="x",1)+IF($M$76="x",2)+J239+IF($M$85="x",1)+IF($M$113="x",1)+IF($M$120="x",2)+IF($M$119="x",2)+IF($M$105="x",1)+IF($M$110="x",1)+IF($M$111="x",2)+IF($M$112="x",4)+IF($M$108="x",1)-IF($M$109="x",1)-IF($M$99="x",1)+IF($M$90="x",1)-6
&amp;"/"&amp;SUM($C$3,$I$3)+IF(H243="x",1)+$I$16-$B$10+$M$94+IF($C$77="x",2)-IF($C$78="x",4)-IF($I$78="x",1)-IF($I$77="x",2)-IF($I$90="x",2)+IF($I$83="x",2)-IF($C$76="x",4)-$C$112+IF(H239="x",1)+I239+$M$77+IF(H241="x",1)+IF(J241="x",1)+IF($M$76="x",2)+J239+IF($M$85="x",1)+IF($M$113="x",1)+IF($M$120="x",2)+IF($M$119="x",2)+IF($M$105="x",1)+IF($M$110="x",1)+IF($M$111="x",2)+IF($M$112="x",4)+IF($M$108="x",1)-IF($M$109="x",1)-IF($M$99="x",1)+IF($M$90="x",1)-5-6
&amp;"/"&amp;SUM($C$3,$I$3)+IF(H243="x",1)+$I$16-$B$10+$M$94+IF($C$77="x",2)-IF($C$78="x",4)-IF($I$78="x",1)-IF($I$77="x",2)-IF($I$90="x",2)+IF($I$83="x",2)-IF($C$76="x",4)-$C$112+IF(H239="x",1)+I239+$M$77+IF(H241="x",1)+IF(J241="x",1)+IF($M$76="x",2)+J239+IF($M$85="x",1)+IF($M$113="x",1)+IF($M$120="x",2)+IF($M$119="x",2)+IF($M$105="x",1)+IF($M$110="x",1)+IF($M$111="x",2)+IF($M$112="x",4)+IF($M$108="x",1)-IF($M$109="x",1)-IF($M$99="x",1)+IF($M$90="x",1)-10-6,
$B$3&gt;=16,
SUM($C$3,$I$3)+IF(H243="x",1)+$I$16-$B$10+$M$94+IF($C$77="x",2)-IF($C$78="x",4)-IF($I$78="x",1)-IF($I$77="x",2)-IF($I$90="x",2)+IF($I$83="x",2)-IF($C$76="x",4)-$C$112+IF(H239="x",1)+I239+$M$77+IF(H241="x",1)+IF(J241="x",1)+IF($M$76="x",2)+J239+IF($M$85="x",1)+IF($M$113="x",1)+IF($M$120="x",2)+IF($M$119="x",2)+IF($M$105="x",1)+IF($M$110="x",1)+IF($M$111="x",2)+IF($M$112="x",4)+IF($M$108="x",1)-IF($M$109="x",1)-IF($M$99="x",1)+IF($M$90="x",1)-6
&amp;"/"&amp;SUM($C$3,$I$3)+IF(H243="x",1)+$I$16-$B$10+$M$94+IF($C$77="x",2)-IF($C$78="x",4)-IF($I$78="x",1)-IF($I$77="x",2)-IF($I$90="x",2)+IF($I$83="x",2)-IF($C$76="x",4)-$C$112+IF(H239="x",1)+I239+$M$77+IF(H241="x",1)+IF(J241="x",1)+IF($M$76="x",2)+J239+IF($M$85="x",1)+IF($M$113="x",1)+IF($M$120="x",2)+IF($M$119="x",2)+IF($M$105="x",1)+IF($M$110="x",1)+IF($M$111="x",2)+IF($M$112="x",4)+IF($M$108="x",1)-IF($M$109="x",1)-IF($M$99="x",1)+IF($M$90="x",1)-5-6
&amp;"/"&amp;SUM($C$3,$I$3)+IF(H243="x",1)+$I$16-$B$10+$M$94+IF($C$77="x",2)-IF($C$78="x",4)-IF($I$78="x",1)-IF($I$77="x",2)-IF($I$90="x",2)+IF($I$83="x",2)-IF($C$76="x",4)-$C$112+IF(H239="x",1)+I239+$M$77+IF(H241="x",1)+IF(J241="x",1)+IF($M$76="x",2)+J239+IF($M$85="x",1)+IF($M$113="x",1)+IF($M$120="x",2)+IF($M$119="x",2)+IF($M$105="x",1)+IF($M$110="x",1)+IF($M$111="x",2)+IF($M$112="x",4)+IF($M$108="x",1)-IF($M$109="x",1)-IF($M$99="x",1)+IF($M$90="x",1)-10-6
&amp;"/"&amp;SUM($C$3,$I$3)+IF(H243="x",1)+$I$16-$B$10+$M$94+IF($C$77="x",2)-IF($C$78="x",4)-IF($I$78="x",1)-IF($I$77="x",2)-IF($I$90="x",2)+IF($I$83="x",2)-IF($C$76="x",4)-$C$112+IF(H239="x",1)+I239+$M$77+IF(H241="x",1)+IF(J241="x",1)+IF($M$76="x",2)+J239+IF($M$85="x",1)+IF($M$113="x",1)+IF($M$120="x",2)+IF($M$119="x",2)+IF($M$105="x",1)+IF($M$110="x",1)+IF($M$111="x",2)+IF($M$112="x",4)+IF($M$108="x",1)-IF($M$109="x",1)-IF($M$99="x",1)+IF($M$90="x",1)-15-6)</f>
        <v>-6</v>
      </c>
      <c r="C248" s="82"/>
      <c r="D248" s="121"/>
      <c r="E248" s="82"/>
      <c r="F248" s="82"/>
      <c r="G248" s="123" t="str">
        <f>(IF($I$89="x","50 %","")&amp;(IF($C$81="x","20 %",""))&amp;(IF($C$82="x","50 %","")))</f>
        <v/>
      </c>
      <c r="H248" s="15"/>
      <c r="I248" s="15"/>
    </row>
    <row r="249" spans="1:38" x14ac:dyDescent="0.2">
      <c r="A249" s="126">
        <f>A245*5</f>
        <v>50</v>
      </c>
      <c r="B249" s="121">
        <f>_xlfn.IFS($I$85="x",
"PAINISSA",
$C$106="",
SUM($C$3,$I$3)+IF(H243="x",1)+$I$16-$B$10+$M$94+IF($C$77="x",2)-IF($C$78="x",4)-IF($I$78="x",1)-IF($I$77="x",2)-IF($I$90="x",2)+IF($I$83="x",2)-IF($C$76="x",4)-$C$112+IF(H239="x",1)+I239+$M$77+IF(H241="x",1)+IF(J241="x",1)+IF($M$76="x",2)+J239+IF($M$85="x",1)+IF($M$113="x",1)+IF($M$120="x",2)+IF($M$119="x",2)+IF($M$105="x",1)+IF($M$110="x",1)+IF($M$111="x",2)+IF($M$112="x",4)+IF($M$108="x",1)-IF($M$109="x",1)-IF($M$99="x",1)+IF($M$90="x",1)-8,
$B$3&lt;6,
SUM($C$3,$I$3)+IF(H243="x",1)+$I$16-$B$10+$M$94+IF($C$77="x",2)-IF($C$78="x",4)-IF($I$78="x",1)-IF($I$77="x",2)-IF($I$90="x",2)+IF($I$83="x",2)-IF($C$76="x",4)-$C$112+IF(H239="x",1)+I239+$M$77+IF(H241="x",1)+IF(J241="x",1)+IF($M$76="x",2)+J239+IF($M$85="x",1)+IF($M$113="x",1)+IF($M$120="x",2)+IF($M$119="x",2)+IF($M$105="x",1)+IF($M$110="x",1)+IF($M$111="x",2)+IF($M$112="x",4)+IF($M$108="x",1)-IF($M$109="x",1)-IF($M$99="x",1)+IF($M$90="x",1)-8,
$B$3&lt;11,
SUM($C$3,$I$3)+IF(H243="x",1)+$I$16-$B$10+$M$94+IF($C$77="x",2)-IF($C$78="x",4)-IF($I$78="x",1)-IF($I$77="x",2)-IF($I$90="x",2)+IF($I$83="x",2)-IF($C$76="x",4)-$C$112+IF(H239="x",1)+I239+$M$77+IF(H241="x",1)+IF(J241="x",1)+IF($M$76="x",2)+J239+IF($M$85="x",1)+IF($M$113="x",1)+IF($M$120="x",2)+IF($M$119="x",2)+IF($M$105="x",1)+IF($M$110="x",1)+IF($M$111="x",2)+IF($M$112="x",4)+IF($M$108="x",1)-IF($M$109="x",1)-IF($M$99="x",1)+IF($M$90="x",1)-8
&amp;"/"&amp;SUM($C$3,$I$3)+IF(H243="x",1)+$I$16-$B$10+$M$94+IF($C$77="x",2)-IF($C$78="x",4)-IF($I$78="x",1)-IF($I$77="x",2)-IF($I$90="x",2)+IF($I$83="x",2)-IF($C$76="x",4)-$C$112+IF(H239="x",1)+I239+$M$77+IF(H241="x",1)+IF(J241="x",1)+IF($M$76="x",2)+J239+IF($M$85="x",1)+IF($M$113="x",1)+IF($M$120="x",2)+IF($M$119="x",2)+IF($M$105="x",1)+IF($M$110="x",1)+IF($M$111="x",2)+IF($M$112="x",4)+IF($M$108="x",1)-IF($M$109="x",1)-IF($M$99="x",1)+IF($M$90="x",1)-5-8,
$B$3&lt;16,
SUM($C$3,$I$3)+IF(H243="x",1)+$I$16-$B$10+$M$94+IF($C$77="x",2)-IF($C$78="x",4)-IF($I$78="x",1)-IF($I$77="x",2)-IF($I$90="x",2)+IF($I$83="x",2)-IF($C$76="x",4)-$C$112+IF(H239="x",1)+I239+$M$77+IF(H241="x",1)+IF(J241="x",1)+IF($M$76="x",2)+J239+IF($M$85="x",1)+IF($M$113="x",1)+IF($M$120="x",2)+IF($M$119="x",2)+IF($M$105="x",1)+IF($M$110="x",1)+IF($M$111="x",2)+IF($M$112="x",4)+IF($M$108="x",1)-IF($M$109="x",1)-IF($M$99="x",1)+IF($M$90="x",1)-8
&amp;"/"&amp;SUM($C$3,$I$3)+IF(H243="x",1)+$I$16-$B$10+$M$94+IF($C$77="x",2)-IF($C$78="x",4)-IF($I$78="x",1)-IF($I$77="x",2)-IF($I$90="x",2)+IF($I$83="x",2)-IF($C$76="x",4)-$C$112+IF(H239="x",1)+I239+$M$77+IF(H241="x",1)+IF(J241="x",1)+IF($M$76="x",2)+J239+IF($M$85="x",1)+IF($M$113="x",1)+IF($M$120="x",2)+IF($M$119="x",2)+IF($M$105="x",1)+IF($M$110="x",1)+IF($M$111="x",2)+IF($M$112="x",4)+IF($M$108="x",1)-IF($M$109="x",1)-IF($M$99="x",1)+IF($M$90="x",1)-5-8
&amp;"/"&amp;SUM($C$3,$I$3)+IF(H243="x",1)+$I$16-$B$10+$M$94+IF($C$77="x",2)-IF($C$78="x",4)-IF($I$78="x",1)-IF($I$77="x",2)-IF($I$90="x",2)+IF($I$83="x",2)-IF($C$76="x",4)-$C$112+IF(H239="x",1)+I239+$M$77+IF(H241="x",1)+IF(J241="x",1)+IF($M$76="x",2)+J239+IF($M$85="x",1)+IF($M$113="x",1)+IF($M$120="x",2)+IF($M$119="x",2)+IF($M$105="x",1)+IF($M$110="x",1)+IF($M$111="x",2)+IF($M$112="x",4)+IF($M$108="x",1)-IF($M$109="x",1)-IF($M$99="x",1)+IF($M$90="x",1)-10-8,
$B$3&gt;=16,
SUM($C$3,$I$3)+IF(H243="x",1)+$I$16-$B$10+$M$94+IF($C$77="x",2)-IF($C$78="x",4)-IF($I$78="x",1)-IF($I$77="x",2)-IF($I$90="x",2)+IF($I$83="x",2)-IF($C$76="x",4)-$C$112+IF(H239="x",1)+I239+$M$77+IF(H241="x",1)+IF(J241="x",1)+IF($M$76="x",2)+J239+IF($M$85="x",1)+IF($M$113="x",1)+IF($M$120="x",2)+IF($M$119="x",2)+IF($M$105="x",1)+IF($M$110="x",1)+IF($M$111="x",2)+IF($M$112="x",4)+IF($M$108="x",1)-IF($M$109="x",1)-IF($M$99="x",1)+IF($M$90="x",1)-8
&amp;"/"&amp;SUM($C$3,$I$3)+IF(H243="x",1)+$I$16-$B$10+$M$94+IF($C$77="x",2)-IF($C$78="x",4)-IF($I$78="x",1)-IF($I$77="x",2)-IF($I$90="x",2)+IF($I$83="x",2)-IF($C$76="x",4)-$C$112+IF(H239="x",1)+I239+$M$77+IF(H241="x",1)+IF(J241="x",1)+IF($M$76="x",2)+J239+IF($M$85="x",1)+IF($M$113="x",1)+IF($M$120="x",2)+IF($M$119="x",2)+IF($M$105="x",1)+IF($M$110="x",1)+IF($M$111="x",2)+IF($M$112="x",4)+IF($M$108="x",1)-IF($M$109="x",1)-IF($M$99="x",1)+IF($M$90="x",1)-5-8
&amp;"/"&amp;SUM($C$3,$I$3)+IF(H243="x",1)+$I$16-$B$10+$M$94+IF($C$77="x",2)-IF($C$78="x",4)-IF($I$78="x",1)-IF($I$77="x",2)-IF($I$90="x",2)+IF($I$83="x",2)-IF($C$76="x",4)-$C$112+IF(H239="x",1)+I239+$M$77+IF(H241="x",1)+IF(J241="x",1)+IF($M$76="x",2)+J239+IF($M$85="x",1)+IF($M$113="x",1)+IF($M$120="x",2)+IF($M$119="x",2)+IF($M$105="x",1)+IF($M$110="x",1)+IF($M$111="x",2)+IF($M$112="x",4)+IF($M$108="x",1)-IF($M$109="x",1)-IF($M$99="x",1)+IF($M$90="x",1)-10-8
&amp;"/"&amp;SUM($C$3,$I$3)+IF(H243="x",1)+$I$16-$B$10+$M$94+IF($C$77="x",2)-IF($C$78="x",4)-IF($I$78="x",1)-IF($I$77="x",2)-IF($I$90="x",2)+IF($I$83="x",2)-IF($C$76="x",4)-$C$112+IF(H239="x",1)+I239+$M$77+IF(H241="x",1)+IF(J241="x",1)+IF($M$76="x",2)+J239+IF($M$85="x",1)+IF($M$113="x",1)+IF($M$120="x",2)+IF($M$119="x",2)+IF($M$105="x",1)+IF($M$110="x",1)+IF($M$111="x",2)+IF($M$112="x",4)+IF($M$108="x",1)-IF($M$109="x",1)-IF($M$99="x",1)+IF($M$90="x",1)-15-8)</f>
        <v>-8</v>
      </c>
      <c r="C249" s="82"/>
      <c r="D249" s="121"/>
      <c r="E249" s="82"/>
      <c r="F249" s="82"/>
      <c r="G249" s="82" t="str">
        <f>(IF($I$89="x","50 %","")&amp;(IF($C$81="x","20 %",""))&amp;(IF($C$82="x","50 %","")))</f>
        <v/>
      </c>
      <c r="H249" s="15"/>
      <c r="I249" s="15"/>
    </row>
    <row r="250" spans="1:38" x14ac:dyDescent="0.2">
      <c r="B250" s="15"/>
      <c r="C250" s="15"/>
      <c r="D250" s="15"/>
      <c r="F250" s="15"/>
      <c r="G250" s="15"/>
      <c r="H250" s="15"/>
      <c r="I250" s="15"/>
      <c r="AB250" s="46"/>
      <c r="AC250" s="48"/>
      <c r="AD250" s="48"/>
      <c r="AE250" s="48"/>
      <c r="AF250" s="48"/>
      <c r="AG250" s="48"/>
      <c r="AH250" s="48"/>
      <c r="AI250" s="48"/>
      <c r="AJ250" s="48"/>
      <c r="AK250" s="48"/>
      <c r="AL250" s="48"/>
    </row>
    <row r="251" spans="1:38" x14ac:dyDescent="0.2">
      <c r="B251" s="15"/>
      <c r="C251" s="15"/>
      <c r="D251" s="15"/>
      <c r="F251" s="15"/>
      <c r="G251" s="15"/>
      <c r="H251" s="15"/>
      <c r="I251" s="15"/>
      <c r="AB251" s="128"/>
      <c r="AC251" s="66"/>
      <c r="AD251" s="66"/>
      <c r="AE251" s="129"/>
      <c r="AF251" s="66"/>
      <c r="AG251" s="66"/>
      <c r="AH251" s="66"/>
      <c r="AI251" s="40"/>
      <c r="AJ251" s="40"/>
      <c r="AK251" s="40"/>
      <c r="AL251" s="40"/>
    </row>
    <row r="252" spans="1:38" x14ac:dyDescent="0.2">
      <c r="A252" s="134" t="s">
        <v>282</v>
      </c>
      <c r="B252" s="130" t="s">
        <v>1</v>
      </c>
      <c r="C252" s="130" t="s">
        <v>2</v>
      </c>
      <c r="D252" s="130" t="s">
        <v>3</v>
      </c>
      <c r="E252" s="130" t="s">
        <v>229</v>
      </c>
      <c r="F252" s="130" t="s">
        <v>3</v>
      </c>
      <c r="G252" s="130" t="s">
        <v>45</v>
      </c>
      <c r="H252" s="14" t="s">
        <v>179</v>
      </c>
      <c r="I252" s="11" t="s">
        <v>242</v>
      </c>
      <c r="J252" s="11" t="s">
        <v>224</v>
      </c>
      <c r="K252" s="11" t="s">
        <v>225</v>
      </c>
      <c r="AB252" s="47"/>
      <c r="AC252" s="113"/>
      <c r="AD252" s="114"/>
      <c r="AE252" s="113"/>
      <c r="AF252" s="114"/>
      <c r="AG252" s="114"/>
      <c r="AH252" s="114"/>
      <c r="AI252" s="48"/>
      <c r="AJ252" s="48"/>
      <c r="AK252" s="48"/>
      <c r="AL252" s="48"/>
    </row>
    <row r="253" spans="1:38" x14ac:dyDescent="0.2">
      <c r="A253" s="131" t="s">
        <v>219</v>
      </c>
      <c r="B253" s="12">
        <f>IF($I$85="x","PAINISSA",IF($C$3&lt;=5,SUM($C$3,$I$2)-$C$120+IF($C$75="x",2)+$I$16-$B$10+$M$94+IF($C$77="x",2)-IF($C$78="x",4)-IF($I$78="x",1)-IF($C$79="x",4)+IF($C$80="x",1)-IF($I$77="x",2)-IF($I$90="x",2)+IF($I$83="x",2)-IF($C$75="x",4)-$C$112+IF(H253="x",1)+I253+$M$77+IF(H255="x",1)+IF(J255="x",1)+IF($M$76="x",2)+J253+IF($M$85="x",1)+IF($M$113="x",1)+IF($M$120="x",2)+IF($M$119="x",2)+IF($M$105="x",1)+IF($M$110="x",1)+IF($M$111="x",2)+IF($M$112="x",4)+IF($M$108="x",1)-IF($M$109="x",1)-IF($M$99="x",1)+IF($M$90="x",1),
IF(AND($C$3&gt;5,$C$3&lt;11),SUM($C$3,$I$2)-$C$120+IF($C$75="x",2)+$I$16-$B$10+$M$94+IF($C$77="x",2)-IF($C$78="x",4)-IF($I$78="x",1)-IF($C$79="x",4)+IF($C$80="x",1)-IF($I$77="x",2)-IF($I$90="x",2)+IF($I$83="x",2)-IF($C$83="x",4)-$C$112+IF(H253="x",1)+I253+$M$77+IF(H255="x",1)+IF(J255="x",1)+IF($M$76="x",2)+J253+IF($M$85="x",1)+IF($M$113="x",1)+IF($M$120="x",2)+IF($M$119="x",2)+IF($M$105="x",1)+IF($M$110="x",1)+IF($M$111="x",2)+IF($M$112="x",4)+IF($M$108="x",1)-IF($M$109="x",1)-IF($M$99="x",1)+IF($M$90="x",1)
&amp;"/"&amp;SUM($C$3,$I$2)-$C$120+IF($C$75="x",2)+$I$16-$B$10+$M$94+IF($C$77="x",2)-IF($C$78="x",4)-IF($I$78="x",1)-IF($C$79="x",4)+IF($C$80="x",1)-IF($I$77="x",2)-IF($I$90="x",2)+IF($I$83="x",2)-IF($C$83="x",4)-$C$112-5+IF(H253="x",1)+I253+$M$77+IF(H255="x",1)+IF(J255="x",1)+IF($M$76="x",2)+J253+IF($M$85="x",1)+IF($M$113="x",1)+IF($M$120="x",2)+IF($M$119="x",2)+IF($M$105="x",1)+IF($M$110="x",1)+IF($M$111="x",2)+IF($M$112="x",4)+IF($M$108="x",1)-IF($M$109="x",1)-IF($M$99="x",1)+IF($M$90="x",1),
IF(AND($C$3&gt;10,$C$3&lt;16),SUM($C$3,$I$2)-$C$120+IF($C$75="x",2)+$I$16-$B$10+$M$94+IF($C$77="x",2)-IF($C$78="x",4)-IF($I$78="x",1)-IF($C$79="x",4)+IF($C$80="x",1)-IF($I$77="x",2)-IF($I$90="x",2)+IF($I$83="x",2)-IF($C$83="x",4)-$C$112+IF(H253="x",1)+I253+$M$77+IF(H255="x",1)+IF(J255="x",1)+IF($M$76="x",2)+J253+IF($M$85="x",1)+IF($M$113="x",1)+IF($M$120="x",2)+IF($M$119="x",2)+IF($M$105="x",1)+IF($M$110="x",1)+IF($M$111="x",2)+IF($M$112="x",4)+IF($M$108="x",1)-IF($M$109="x",1)+IF($M$99="x",20)-IF($M$99="x",1)+IF($M$90="x",1)
&amp;"/"&amp;SUM($C$3,$I$2)-$C$120+IF($C$75="x",2)+$I$16-$B$10+$M$94+IF($C$77="x",2)-IF($C$78="x",4)-IF($I$78="x",1)-IF($C$79="x",4)+IF($C$80="x",1)-IF($I$77="x",2)-IF($I$90="x",2)+IF($I$83="x",2)-IF($C$83="x",4)-$C$112-5+IF(H624="x",1)+IF(H253="x",1)+I253+$M$77+IF(H255="x",1)+IF(J255="x",1)+IF($M$76="x",2)+J253+IF($M$85="x",1)+IF($M$113="x",1)+IF($M$120="x",2)+IF($M$119="x",2)+IF($M$105="x",1)+IF($M$110="x",1)+IF($M$111="x",2)+IF($M$112="x",4)+IF($M$108="x",1)-IF($M$109="x",1)-IF($M$99="x",1)+IF($M$90="x",1)
&amp;"/"&amp;SUM($C$3,$I$2)-$C$120+IF($C$75="x",2)+$I$16-$B$10+$M$94+IF($C$77="x",2)-IF($C$78="x",4)-IF($I$78="x",1)-IF($C$79="x",4)+IF($C$80="x",1)-IF($I$77="x",2)-IF($I$90="x",2)+IF($I$83="x",2)-IF($C$83="x",4)-$C$112-10+IF(H624="x",1)+IF(H253="x",1)+I253+$M$77+IF(H255="x",1)+IF(J255="x",1)+IF($M$76="x",2)+J253+IF($M$85="x",1)+IF($M$113="x",1)+IF($M$120="x",2)+IF($M$119="x",2)+IF($M$105="x",1)+IF($M$110="x",1)+IF($M$111="x",2)+IF($M$112="x",4)+IF($M$108="x",1)-IF($M$109="x",1)-IF($M$99="x",1)+IF($M$90="x",1),
IF(AND($C$3&gt;15),SUM($C$3,$I$2)-$C$120+IF($C$75="x",2)+$I$16-$B$10+$M$94+IF($C$77="x",2)-IF($C$78="x",4)-IF($I$78="x",1)-IF($C$79="x",4)+IF($C$80="x",1)-IF($I$77="x",2)-IF($I$90="x",2)+IF($I$83="x",2)-IF($C$83="x",4)-$C$112+IF(H253="x",1)+I253+$M$77+IF(H255="x",1)+IF(J255="x",1)+IF($M$76="x",2)+J253+IF($M$85="x",1)+IF($M$113="x",1)+IF($M$120="x",2)+IF($M$119="x",2)+IF($M$105="x",1)+IF($M$110="x",1)+IF($M$111="x",2)+IF($M$112="x",4)+IF($M$108="x",1)-IF($M$109="x",1)-IF($M$99="x",1)+IF($M$90="x",1)
&amp;"/"&amp;SUM($C$3,$I$2)-$C$120+IF($C$75="x",2)+$I$16-$B$10+$M$94+IF($C$77="x",2)-IF($C$78="x",4)-IF($I$78="x",1)-IF($C$79="x",4)+IF($C$80="x",1)-IF($I$77="x",2)-IF($I$90="x",2)+IF($I$83="x",2)-IF($C$83="x",4)-$C$112-5+IF(H624="x",1)+IF(H253="x",1)+I253+$M$77+IF(H255="x",1)+IF(J255="x",1)+IF($M$76="x",2)+J253+IF($M$85="x",1)+IF($M$113="x",1)+IF($M$120="x",2)+IF($M$119="x",2)+IF($M$105="x",1)+IF($M$110="x",1)+IF($M$111="x",2)+IF($M$112="x",4)+IF($M$108="x",1)-IF($M$109="x",1)-IF($M$99="x",1)+IF($M$90="x",1)
&amp;"/"&amp;SUM($C$3,$I$2)-$C$120+IF($C$75="x",2)+$I$16-$B$10+$M$94+IF($C$77="x",2)-IF($C$78="x",4)-IF($I$78="x",1)-IF($C$79="x",4)+IF($C$80="x",1)-IF($I$77="x",2)-IF($I$90="x",2)+IF($I$83="x",2)-IF($C$83="x",4)-$C$112-10+IF(H624="x",1)+IF(H253="x",1)+I253+$M$77+IF(H255="x",1)+IF(J255="x",1)+IF($M$76="x",2)+J253+IF($M$85="x",1)+IF($M$113="x",1)+IF($M$120="x",2)+IF($M$119="x",2)+IF($M$105="x",1)+IF($M$110="x",1)+IF($M$111="x",2)+IF($M$112="x",4)+IF($M$108="x",1)-IF($M$109="x",1)-IF($M$99="x",1)+IF($M$90="x",1)
&amp;"/"&amp;SUM($C$3,$I$2)-$C$120+IF($C$75="x",2)+$I$16-$B$10+$M$94+IF($C$77="x",2)-IF($C$78="x",4)-IF($I$78="x",1)-IF($C$79="x",4)+IF($C$80="x",1)-IF($I$77="x",2)-IF($I$90="x",2)+IF($I$83="x",2)-IF($C$83="x",4)-$C$112-15+IF(H624="x",1)+IF(H253="x",1)+I253+$M$77+IF(H255="x",1)+IF(J255="x",1)+IF($M$76="x",2)+J253+IF($M$85="x",1)+IF($M$113="x",1)+IF($M$120="x",2)+IF($M$119="x",2)+IF($M$105="x",1)+IF($M$110="x",1)+IF($M$111="x",2)+IF($M$112="x",4)+IF($M$108="x",1)-IF($M$109="x",1)-IF($M$99="x",1)+IF($M$90="x",1))))))</f>
        <v>0</v>
      </c>
      <c r="C253" s="49" t="str">
        <f>_xlfn.IFS($C$7="Minimaalinen","1",$C$7="Taskukokoinen","1n2",$C$7="Hyvin pieni","1n3",$C$7="Pieni","1n4",$C$7="Keskikokoinen","1n6",$C$7="Iso","1n8",$C$7="Valtava","2n6",$C$7="Suunnaton","3n6",$C$7="Giganttinen","4n6")</f>
        <v>1n6</v>
      </c>
      <c r="D253" s="18">
        <f>SUM($I$2+$C$120)+I253+$M$77+IF(I255="x",2)+IF(K255="x",2)+IF($M$119="x",2)+IF($M$108="x",1)+$M$94-IF($M$109="x",1)+K253</f>
        <v>0</v>
      </c>
      <c r="E253" s="49" t="str">
        <f>_xlfn.IFS($C$7="Minimaalinen","2",$C$7="Taskukokoinen","2n2",$C$7="Hyvin pieni","2n3",$C$7="Pieni","2n4",$C$7="Keskikokoinen","2n6",$C$7="Iso","2n8",$C$7="Valtava","4n6",$C$7="Suunnaton","6n6",$C$7="Giganttinen","8n6")</f>
        <v>2n6</v>
      </c>
      <c r="F253" s="12">
        <f>SUM(D253*2)</f>
        <v>0</v>
      </c>
      <c r="G253" s="12" t="str">
        <f>(IF($I$89="x","50 %","")&amp;(IF(AND($C$81="x",$C$92=""),"20 %","")&amp;(IF($C$82="x","50 %",""))))</f>
        <v/>
      </c>
      <c r="H253" s="28"/>
      <c r="I253" s="17">
        <v>0</v>
      </c>
      <c r="J253" s="17">
        <v>0</v>
      </c>
      <c r="K253" s="17">
        <v>0</v>
      </c>
      <c r="AB253" s="50"/>
      <c r="AC253" s="51"/>
      <c r="AD253" s="49"/>
      <c r="AE253" s="51"/>
      <c r="AF253" s="49"/>
      <c r="AG253" s="49"/>
      <c r="AH253" s="49"/>
      <c r="AI253" s="40"/>
      <c r="AJ253" s="40"/>
      <c r="AK253" s="40"/>
      <c r="AL253" s="40"/>
    </row>
    <row r="254" spans="1:38" x14ac:dyDescent="0.2">
      <c r="A254" s="58" t="s">
        <v>8</v>
      </c>
      <c r="B254" s="119">
        <f>IF($I$85="x","PAINISSA",IF($C$3&lt;=5,SUM($C$3,$I$2)-$C$120+IF($C$75="x",2)+$I$16-$B$10+$M$94+IF($C$77="x",2)-IF($C$78="x",4)-IF($I$78="x",1)-IF($C$79="x",4)+IF($C$80="x",1)-IF($I$77="x",2)-IF($I$90="x",2)+IF($I$83="x",2)-IF($C$75="x",4)-$C$112+IF(H253="x",1)+I253+$M$77+IF(H255="x",1)+IF(J255="x",1)+IF($M$76="x",2)+J253+IF($M$85="x",1)+IF($M$113="x",1)+IF($M$120="x",2)+IF($M$119="x",2)+IF($M$105="x",1)+IF($M$110="x",1)+IF($M$111="x",2)+IF($M$112="x",4)+IF($M$108="x",1)-IF($M$109="x",1)-IF($M$99="x",1)+IF($M$90="x",1),
IF(AND($C$3&gt;5,$C$3&lt;11),SUM($C$3,$I$2)-$C$120+IF($C$75="x",2)+$I$16-$B$10+$M$94+IF($C$77="x",2)-IF($C$78="x",4)-IF($I$78="x",1)-IF($C$79="x",4)+IF($C$80="x",1)-IF($I$77="x",2)-IF($I$90="x",2)+IF($I$83="x",2)-IF($C$83="x",4)-$C$112+IF(H253="x",1)+I253+$M$77+IF(H255="x",1)+IF(J255="x",1)+IF($M$76="x",2)+J253+IF($M$85="x",1)+IF($M$113="x",1)+IF($M$120="x",2)+IF($M$119="x",2)+IF($M$105="x",1)+IF($M$110="x",1)+IF($M$111="x",2)+IF($M$112="x",4)+IF($M$108="x",1)-IF($M$109="x",1)-IF($M$99="x",1)+IF($M$90="x",1)
&amp;"/"&amp;SUM($C$3,$I$2)-$C$120+IF($C$75="x",2)+$I$16-$B$10+$M$94+IF($C$77="x",2)-IF($C$78="x",4)-IF($I$78="x",1)-IF($C$79="x",4)+IF($C$80="x",1)-IF($I$77="x",2)-IF($I$90="x",2)+IF($I$83="x",2)-IF($C$83="x",4)-$C$112-5+IF(H253="x",1)+I253+$M$77+IF(H255="x",1)+IF(J255="x",1)+IF($M$76="x",2)+J253+IF($M$85="x",1)+IF($M$113="x",1)+IF($M$120="x",2)+IF($M$119="x",2)+IF($M$105="x",1)+IF($M$110="x",1)+IF($M$111="x",2)+IF($M$112="x",4)+IF($M$108="x",1)-IF($M$109="x",1)-IF($M$99="x",1)+IF($M$90="x",1),
IF(AND($C$3&gt;10,$C$3&lt;16),SUM($C$3,$I$2)-$C$120+IF($C$75="x",2)+$I$16-$B$10+$M$94+IF($C$77="x",2)-IF($C$78="x",4)-IF($I$78="x",1)-IF($C$79="x",4)+IF($C$80="x",1)-IF($I$77="x",2)-IF($I$90="x",2)+IF($I$83="x",2)-IF($C$83="x",4)-$C$112+IF(H253="x",1)+I253+$M$77+IF(H255="x",1)+IF(J255="x",1)+IF($M$76="x",2)+J253+IF($M$85="x",1)+IF($M$113="x",1)+IF($M$120="x",2)+IF($M$119="x",2)+IF($M$105="x",1)+IF($M$110="x",1)+IF($M$111="x",2)+IF($M$112="x",4)+IF($M$108="x",1)-IF($M$109="x",1)+IF($M$99="x",20)-IF($M$99="x",1)+IF($M$90="x",1)
&amp;"/"&amp;SUM($C$3,$I$2)-$C$120+IF($C$75="x",2)+$I$16-$B$10+$M$94+IF($C$77="x",2)-IF($C$78="x",4)-IF($I$78="x",1)-IF($C$79="x",4)+IF($C$80="x",1)-IF($I$77="x",2)-IF($I$90="x",2)+IF($I$83="x",2)-IF($C$83="x",4)-$C$112-5+IF(H624="x",1)+IF(H253="x",1)+I253+$M$77+IF(H255="x",1)+IF(J255="x",1)+IF($M$76="x",2)+J253+IF($M$85="x",1)+IF($M$113="x",1)+IF($M$120="x",2)+IF($M$119="x",2)+IF($M$105="x",1)+IF($M$110="x",1)+IF($M$111="x",2)+IF($M$112="x",4)+IF($M$108="x",1)-IF($M$109="x",1)-IF($M$99="x",1)+IF($M$90="x",1)
&amp;"/"&amp;SUM($C$3,$I$2)-$C$120+IF($C$75="x",2)+$I$16-$B$10+$M$94+IF($C$77="x",2)-IF($C$78="x",4)-IF($I$78="x",1)-IF($C$79="x",4)+IF($C$80="x",1)-IF($I$77="x",2)-IF($I$90="x",2)+IF($I$83="x",2)-IF($C$83="x",4)-$C$112-10+IF(H624="x",1)+IF(H253="x",1)+I253+$M$77+IF(H255="x",1)+IF(J255="x",1)+IF($M$76="x",2)+J253+IF($M$85="x",1)+IF($M$113="x",1)+IF($M$120="x",2)+IF($M$119="x",2)+IF($M$105="x",1)+IF($M$110="x",1)+IF($M$111="x",2)+IF($M$112="x",4)+IF($M$108="x",1)-IF($M$109="x",1)-IF($M$99="x",1)+IF($M$90="x",1),
IF(AND($C$3&gt;15),SUM($C$3,$I$2)-$C$120+IF($C$75="x",2)+$I$16-$B$10+$M$94+IF($C$77="x",2)-IF($C$78="x",4)-IF($I$78="x",1)-IF($C$79="x",4)+IF($C$80="x",1)-IF($I$77="x",2)-IF($I$90="x",2)+IF($I$83="x",2)-IF($C$83="x",4)-$C$112+IF(H253="x",1)+I253+$M$77+IF(H255="x",1)+IF(J255="x",1)+IF($M$76="x",2)+J253+IF($M$85="x",1)+IF($M$113="x",1)+IF($M$120="x",2)+IF($M$119="x",2)+IF($M$105="x",1)+IF($M$110="x",1)+IF($M$111="x",2)+IF($M$112="x",4)+IF($M$108="x",1)-IF($M$109="x",1)-IF($M$99="x",1)+IF($M$90="x",1)
&amp;"/"&amp;SUM($C$3,$I$2)-$C$120+IF($C$75="x",2)+$I$16-$B$10+$M$94+IF($C$77="x",2)-IF($C$78="x",4)-IF($I$78="x",1)-IF($C$79="x",4)+IF($C$80="x",1)-IF($I$77="x",2)-IF($I$90="x",2)+IF($I$83="x",2)-IF($C$83="x",4)-$C$112-5+IF(H624="x",1)+IF(H253="x",1)+I253+$M$77+IF(H255="x",1)+IF(J255="x",1)+IF($M$76="x",2)+J253+IF($M$85="x",1)+IF($M$113="x",1)+IF($M$120="x",2)+IF($M$119="x",2)+IF($M$105="x",1)+IF($M$110="x",1)+IF($M$111="x",2)+IF($M$112="x",4)+IF($M$108="x",1)-IF($M$109="x",1)-IF($M$99="x",1)+IF($M$90="x",1)
&amp;"/"&amp;SUM($C$3,$I$2)-$C$120+IF($C$75="x",2)+$I$16-$B$10+$M$94+IF($C$77="x",2)-IF($C$78="x",4)-IF($I$78="x",1)-IF($C$79="x",4)+IF($C$80="x",1)-IF($I$77="x",2)-IF($I$90="x",2)+IF($I$83="x",2)-IF($C$83="x",4)-$C$112-10+IF(H624="x",1)+IF(H253="x",1)+I253+$M$77+IF(H255="x",1)+IF(J255="x",1)+IF($M$76="x",2)+J253+IF($M$85="x",1)+IF($M$113="x",1)+IF($M$120="x",2)+IF($M$119="x",2)+IF($M$105="x",1)+IF($M$110="x",1)+IF($M$111="x",2)+IF($M$112="x",4)+IF($M$108="x",1)-IF($M$109="x",1)-IF($M$99="x",1)+IF($M$90="x",1)
&amp;"/"&amp;SUM($C$3,$I$2)-$C$120+IF($C$75="x",2)+$I$16-$B$10+$M$94+IF($C$77="x",2)-IF($C$78="x",4)-IF($I$78="x",1)-IF($C$79="x",4)+IF($C$80="x",1)-IF($I$77="x",2)-IF($I$90="x",2)+IF($I$83="x",2)-IF($C$83="x",4)-$C$112-15+IF(H624="x",1)+IF(H253="x",1)+I253+$M$77+IF(H255="x",1)+IF(J255="x",1)+IF($M$76="x",2)+J253+IF($M$85="x",1)+IF($M$113="x",1)+IF($M$120="x",2)+IF($M$119="x",2)+IF($M$105="x",1)+IF($M$110="x",1)+IF($M$111="x",2)+IF($M$112="x",4)+IF($M$108="x",1)-IF($M$109="x",1)-IF($M$99="x",1)+IF($M$90="x",1))))))</f>
        <v>0</v>
      </c>
      <c r="C254" s="114" t="str">
        <f>_xlfn.IFS($C$7="Minimaalinen","1",$C$7="Taskukokoinen","1n2",$C$7="Hyvin pieni","1n3",$C$7="Pieni","1n4",$C$7="Keskikokoinen","1n6",$C$7="Iso","1n8",$C$7="Valtava","2n6",$C$7="Suunnaton","3n6",$C$7="Giganttinen","4n6")</f>
        <v>1n6</v>
      </c>
      <c r="D254" s="119">
        <f>IF($I$2&lt;0,$I$2,INT($I$2*1.5))+($C$120*2)+I253+$M$77+IF(I255="x",2)+IF(K255="x",2)+IF($M$119="x",2)+IF($M$108="x",1)+$M$94-IF($M$109="x",1)+K253</f>
        <v>0</v>
      </c>
      <c r="E254" s="114" t="str">
        <f>_xlfn.IFS($C$7="Minimaalinen","2",$C$7="Taskukokoinen","2n2",$C$7="Hyvin pieni","2n3",$C$7="Pieni","2n4",$C$7="Keskikokoinen","2n6",$C$7="Iso","2n8",$C$7="Valtava","4n6",$C$7="Suunnaton","6n6",$C$7="Giganttinen","8n6")</f>
        <v>2n6</v>
      </c>
      <c r="F254" s="120">
        <f>SUM(D254*2)</f>
        <v>0</v>
      </c>
      <c r="G254" s="120" t="str">
        <f>(IF($I$89="x","50 %","")&amp;(IF($C$81="x","20 %",""))&amp;(IF($C$82="x","50 %","")))</f>
        <v/>
      </c>
      <c r="H254" s="14" t="s">
        <v>220</v>
      </c>
      <c r="I254" s="14" t="s">
        <v>221</v>
      </c>
      <c r="J254" s="14" t="s">
        <v>222</v>
      </c>
      <c r="K254" s="14" t="s">
        <v>223</v>
      </c>
      <c r="AB254" s="50"/>
      <c r="AC254" s="49"/>
      <c r="AD254" s="49"/>
      <c r="AE254" s="51"/>
      <c r="AF254" s="49"/>
      <c r="AG254" s="49"/>
      <c r="AH254" s="49"/>
      <c r="AI254" s="48"/>
    </row>
    <row r="255" spans="1:38" x14ac:dyDescent="0.2">
      <c r="A255" s="133" t="s">
        <v>438</v>
      </c>
      <c r="B255" s="121">
        <f>IF($I$85="x","PAINISSA",IF($C$3&lt;=5,SUM($C$3,$I$2)-$C$120+IF($C$75="x",2)+$I$16-$B$10+$M$94+IF($C$77="x",2)-IF($C$78="x",4)-IF($I$78="x",1)-IF($C$79="x",4)+IF($C$80="x",1)-IF($I$77="x",2)-IF($I$90="x",2)+IF($I$83="x",2)-IF($C$75="x",4)-$C$112+IF(H253="x",1)+I253+$M$77+IF(H255="x",1)+IF(J255="x",1)+IF($M$76="x",2)+J253+IF($M$85="x",1)+IF($M$113="x",1)+IF($M$120="x",2)+IF($M$119="x",2)+IF($M$105="x",1)+IF($M$110="x",1)+IF($M$111="x",2)+IF($M$112="x",4)+IF($M$108="x",1)-IF($M$109="x",1)-IF($M$99="x",1)+IF($M$90="x",1)-IF($C$97="x",2,4),
IF(AND($C$3&gt;5,$C$3&lt;11),SUM($C$3,$I$2)-$C$120+IF($C$75="x",2)+$I$16-$B$10+$M$94+IF($C$77="x",2)-IF($C$78="x",4)-IF($I$78="x",1)-IF($C$79="x",4)+IF($C$80="x",1)-IF($I$77="x",2)-IF($I$90="x",2)+IF($I$83="x",2)-IF($C$83="x",4)-$C$112+IF(H253="x",1)+I253+$M$77+IF(H255="x",1)+IF(J255="x",1)+IF($M$76="x",2)+J253+IF($M$85="x",1)+IF($M$113="x",1)+IF($M$120="x",2)+IF($M$119="x",2)+IF($M$105="x",1)+IF($M$110="x",1)+IF($M$111="x",2)+IF($M$112="x",4)+IF($M$108="x",1)-IF($M$109="x",1)-IF($M$99="x",1)+IF($M$90="x",1)-IF($C$97="x",2,4)
&amp;"/"&amp;SUM($C$3,$I$2)-$C$120+IF($C$75="x",2)+$I$16-$B$10+$M$94+IF($C$77="x",2)-IF($C$78="x",4)-IF($I$78="x",1)-IF($C$79="x",4)+IF($C$80="x",1)-IF($I$77="x",2)-IF($I$90="x",2)+IF($I$83="x",2)-IF($C$83="x",4)-$C$112-5+IF(H253="x",1)+I253+$M$77+IF(H255="x",1)+IF(J255="x",1)+IF($M$76="x",2)+J253+IF($M$85="x",1)+IF($M$113="x",1)+IF($M$120="x",2)+IF($M$119="x",2)+IF($M$105="x",1)+IF($M$110="x",1)+IF($M$111="x",2)+IF($M$112="x",4)+IF($M$108="x",1)-IF($M$109="x",1)-IF($M$99="x",1)+IF($M$90="x",1)-IF($C$97="x",2,4),
IF(AND($C$3&gt;10,$C$3&lt;16),SUM($C$3,$I$2)-$C$120+IF($C$75="x",2)+$I$16-$B$10+$M$94+IF($C$77="x",2)-IF($C$78="x",4)-IF($I$78="x",1)-IF($C$79="x",4)+IF($C$80="x",1)-IF($I$77="x",2)-IF($I$90="x",2)+IF($I$83="x",2)-IF($C$83="x",4)-$C$112+IF(H253="x",1)+I253+$M$77+IF(H255="x",1)+IF(J255="x",1)+IF($M$76="x",2)+J253+IF($M$85="x",1)+IF($M$113="x",1)+IF($M$120="x",2)+IF($M$119="x",2)+IF($M$105="x",1)+IF($M$110="x",1)+IF($M$111="x",2)+IF($M$112="x",4)+IF($M$108="x",1)-IF($M$109="x",1)+IF($M$99="x",20)-IF($M$99="x",1)+IF($M$90="x",1)-IF($C$97="x",2,4)
&amp;"/"&amp;SUM($C$3,$I$2)-$C$120+IF($C$75="x",2)+$I$16-$B$10+$M$94+IF($C$77="x",2)-IF($C$78="x",4)-IF($I$78="x",1)-IF($C$79="x",4)+IF($C$80="x",1)-IF($I$77="x",2)-IF($I$90="x",2)+IF($I$83="x",2)-IF($C$83="x",4)-$C$112-5+IF(H624="x",1)+IF(H253="x",1)+I253+$M$77+IF(H255="x",1)+IF(J255="x",1)+IF($M$76="x",2)+J253+IF($M$85="x",1)+IF($M$113="x",1)+IF($M$120="x",2)+IF($M$119="x",2)+IF($M$105="x",1)+IF($M$110="x",1)+IF($M$111="x",2)+IF($M$112="x",4)+IF($M$108="x",1)-IF($M$109="x",1)-IF($M$99="x",1)+IF($M$90="x",1)-IF($C$97="x",2,4)
&amp;"/"&amp;SUM($C$3,$I$2)-$C$120+IF($C$75="x",2)+$I$16-$B$10+$M$94+IF($C$77="x",2)-IF($C$78="x",4)-IF($I$78="x",1)-IF($C$79="x",4)+IF($C$80="x",1)-IF($I$77="x",2)-IF($I$90="x",2)+IF($I$83="x",2)-IF($C$83="x",4)-$C$112-10+IF(H624="x",1)+IF(H253="x",1)+I253+$M$77+IF(H255="x",1)+IF(J255="x",1)+IF($M$76="x",2)+J253+IF($M$85="x",1)+IF($M$113="x",1)+IF($M$120="x",2)+IF($M$119="x",2)+IF($M$105="x",1)+IF($M$110="x",1)+IF($M$111="x",2)+IF($M$112="x",4)+IF($M$108="x",1)-IF($M$109="x",1)-IF($M$99="x",1)+IF($M$90="x",1)-IF($C$97="x",2,4),
IF(AND($C$3&gt;15),SUM($C$3,$I$2)-$C$120+IF($C$75="x",2)+$I$16-$B$10+$M$94+IF($C$77="x",2)-IF($C$78="x",4)-IF($I$78="x",1)-IF($C$79="x",4)+IF($C$80="x",1)-IF($I$77="x",2)-IF($I$90="x",2)+IF($I$83="x",2)-IF($C$83="x",4)-$C$112+IF(H253="x",1)+I253+$M$77+IF(H255="x",1)+IF(J255="x",1)+IF($M$76="x",2)+J253+IF($M$85="x",1)+IF($M$113="x",1)+IF($M$120="x",2)+IF($M$119="x",2)+IF($M$105="x",1)+IF($M$110="x",1)+IF($M$111="x",2)+IF($M$112="x",4)+IF($M$108="x",1)-IF($M$109="x",1)-IF($M$99="x",1)+IF($M$90="x",1)-IF($C$97="x",2,4)
&amp;"/"&amp;SUM($C$3,$I$2)-$C$120+IF($C$75="x",2)+$I$16-$B$10+$M$94+IF($C$77="x",2)-IF($C$78="x",4)-IF($I$78="x",1)-IF($C$79="x",4)+IF($C$80="x",1)-IF($I$77="x",2)-IF($I$90="x",2)+IF($I$83="x",2)-IF($C$83="x",4)-$C$112-5+IF(H624="x",1)+IF(H253="x",1)+I253+$M$77+IF(H255="x",1)+IF(J255="x",1)+IF($M$76="x",2)+J253+IF($M$85="x",1)+IF($M$113="x",1)+IF($M$120="x",2)+IF($M$119="x",2)+IF($M$105="x",1)+IF($M$110="x",1)+IF($M$111="x",2)+IF($M$112="x",4)+IF($M$108="x",1)-IF($M$109="x",1)-IF($M$99="x",1)+IF($M$90="x",1)-IF($C$97="x",2,4)
&amp;"/"&amp;SUM($C$3,$I$2)-$C$120+IF($C$75="x",2)+$I$16-$B$10+$M$94+IF($C$77="x",2)-IF($C$78="x",4)-IF($I$78="x",1)-IF($C$79="x",4)+IF($C$80="x",1)-IF($I$77="x",2)-IF($I$90="x",2)+IF($I$83="x",2)-IF($C$83="x",4)-$C$112-10+IF(H624="x",1)+IF(H253="x",1)+I253+$M$77+IF(H255="x",1)+IF(J255="x",1)+IF($M$76="x",2)+J253+IF($M$85="x",1)+IF($M$113="x",1)+IF($M$120="x",2)+IF($M$119="x",2)+IF($M$105="x",1)+IF($M$110="x",1)+IF($M$111="x",2)+IF($M$112="x",4)+IF($M$108="x",1)-IF($M$109="x",1)-IF($M$99="x",1)+IF($M$90="x",1)-IF($C$97="x",2,4)
&amp;"/"&amp;SUM($C$3,$I$2)-$C$120+IF($C$75="x",2)+$I$16-$B$10+$M$94+IF($C$77="x",2)-IF($C$78="x",4)-IF($I$78="x",1)-IF($C$79="x",4)+IF($C$80="x",1)-IF($I$77="x",2)-IF($I$90="x",2)+IF($I$83="x",2)-IF($C$83="x",4)-$C$112-15+IF(H624="x",1)+IF(H253="x",1)+I253+$M$77+IF(H255="x",1)+IF(J255="x",1)+IF($M$76="x",2)+J253+IF($M$85="x",1)+IF($M$113="x",1)+IF($M$120="x",2)+IF($M$119="x",2)+IF($M$105="x",1)+IF($M$110="x",1)+IF($M$111="x",2)+IF($M$112="x",4)+IF($M$108="x",1)-IF($M$109="x",1)-IF($M$99="x",1)+IF($M$90="x",1)-IF($C$97="x",2,4))))))</f>
        <v>-4</v>
      </c>
      <c r="C255" s="49" t="str">
        <f>_xlfn.IFS($C$7="Minimaalinen","1",$C$7="Taskukokoinen","1n2",$C$7="Hyvin pieni","1n3",$C$7="Pieni","1n4",$C$7="Keskikokoinen","1n6",$C$7="Iso","1n8",$C$7="Valtava","2n6",$C$7="Suunnaton","3n6",$C$7="Giganttinen","4n6")</f>
        <v>1n6</v>
      </c>
      <c r="D255" s="121">
        <f>SUM($I$2+$C$120)+I253+$M$77+IF(I255="x",2)+IF(K255="x",2)+IF($M$119="x",2)+IF($M$108="x",1)+$M$94-IF($M$109="x",1)+K253</f>
        <v>0</v>
      </c>
      <c r="E255" s="49" t="str">
        <f>_xlfn.IFS($C$7="Minimaalinen","2",$C$7="Taskukokoinen","2n2",$C$7="Hyvin pieni","2n3",$C$7="Pieni","2n4",$C$7="Keskikokoinen","2n6",$C$7="Iso","2n8",$C$7="Valtava","4n6",$C$7="Suunnaton","6n6",$C$7="Giganttinen","8n6")</f>
        <v>2n6</v>
      </c>
      <c r="F255" s="12">
        <f>SUM(D255*2)</f>
        <v>0</v>
      </c>
      <c r="G255" s="82" t="str">
        <f>(IF($I$89="x","50 %","")&amp;(IF($C$81="x","20 %",""))&amp;(IF($C$82="x","50 %","")))</f>
        <v/>
      </c>
      <c r="H255" s="28"/>
      <c r="I255" s="28"/>
      <c r="J255" s="28"/>
      <c r="K255" s="28"/>
      <c r="AB255" s="52"/>
      <c r="AC255" s="53"/>
      <c r="AD255" s="54"/>
      <c r="AE255" s="53"/>
      <c r="AF255" s="54"/>
      <c r="AG255" s="54"/>
      <c r="AH255" s="54"/>
      <c r="AI255" s="40"/>
      <c r="AJ255" s="40"/>
      <c r="AL255" s="49"/>
    </row>
    <row r="256" spans="1:38" x14ac:dyDescent="0.2">
      <c r="A256" s="133" t="s">
        <v>437</v>
      </c>
      <c r="B256" s="82">
        <f>IF($I$85="x","PAINISSA",IF($C$3&lt;=5,SUM($C$3,$I$2)-$C$120+IF($C$75="x",2)+$I$16-$B$10+$M$94+IF($C$77="x",2)-IF($C$78="x",4)-IF($I$78="x",1)-IF($C$79="x",4)+IF($C$80="x",1)-IF($I$77="x",2)-IF($I$90="x",2)+IF($I$83="x",2)-IF($C$75="x",4)-$C$112+IF(H253="x",1)+I253+$M$77+IF(H255="x",1)+IF(J255="x",1)+IF($M$76="x",2)+J253+IF($M$85="x",1)+IF($M$113="x",1)+IF($M$120="x",2)+IF($M$119="x",2)+IF($M$105="x",1)+IF($M$110="x",1)+IF($M$111="x",2)+IF($M$112="x",4)+IF($M$108="x",1)-IF($M$109="x",1)-IF($M$99="x",1)+IF($M$90="x",1)-IF($C$97="x",4,6),
IF(AND($C$3&gt;5,$C$3&lt;11),SUM($C$3,$I$2)-$C$120+IF($C$75="x",2)+$I$16-$B$10+$M$94+IF($C$77="x",2)-IF($C$78="x",4)-IF($I$78="x",1)-IF($C$79="x",4)+IF($C$80="x",1)-IF($I$77="x",2)-IF($I$90="x",2)+IF($I$83="x",2)-IF($C$83="x",4)-$C$112+IF(H253="x",1)+I253+$M$77+IF(H255="x",1)+IF(J255="x",1)+IF($M$76="x",2)+J253+IF($M$85="x",1)+IF($M$113="x",1)+IF($M$120="x",2)+IF($M$119="x",2)+IF($M$105="x",1)+IF($M$110="x",1)+IF($M$111="x",2)+IF($M$112="x",4)+IF($M$108="x",1)-IF($M$109="x",1)-IF($M$99="x",1)+IF($M$90="x",1)-IF($C$97="x",4,6)
&amp;"/"&amp;SUM($C$3,$I$2)-$C$120+IF($C$75="x",2)+$I$16-$B$10+$M$94+IF($C$77="x",2)-IF($C$78="x",4)-IF($I$78="x",1)-IF($C$79="x",4)+IF($C$80="x",1)-IF($I$77="x",2)-IF($I$90="x",2)+IF($I$83="x",2)-IF($C$83="x",4)-$C$112-5+IF(H253="x",1)+I253+$M$77+IF(H255="x",1)+IF(J255="x",1)+IF($M$76="x",2)+J253+IF($M$85="x",1)+IF($M$113="x",1)+IF($M$120="x",2)+IF($M$119="x",2)+IF($M$105="x",1)+IF($M$110="x",1)+IF($M$111="x",2)+IF($M$112="x",4)+IF($M$108="x",1)-IF($M$109="x",1)-IF($M$99="x",1)+IF($M$90="x",1)-IF($C$97="x",4,6),
IF(AND($C$3&gt;10,$C$3&lt;16),SUM($C$3,$I$2)-$C$120+IF($C$75="x",2)+$I$16-$B$10+$M$94+IF($C$77="x",2)-IF($C$78="x",4)-IF($I$78="x",1)-IF($C$79="x",4)+IF($C$80="x",1)-IF($I$77="x",2)-IF($I$90="x",2)+IF($I$83="x",2)-IF($C$83="x",4)-$C$112+IF(H253="x",1)+I253+$M$77+IF(H255="x",1)+IF(J255="x",1)+IF($M$76="x",2)+J253+IF($M$85="x",1)+IF($M$113="x",1)+IF($M$120="x",2)+IF($M$119="x",2)+IF($M$105="x",1)+IF($M$110="x",1)+IF($M$111="x",2)+IF($M$112="x",4)+IF($M$108="x",1)-IF($M$109="x",1)+IF($M$99="x",20)-IF($M$99="x",1)+IF($M$90="x",1)-IF($C$97="x",4,6)
&amp;"/"&amp;SUM($C$3,$I$2)-$C$120+IF($C$75="x",2)+$I$16-$B$10+$M$94+IF($C$77="x",2)-IF($C$78="x",4)-IF($I$78="x",1)-IF($C$79="x",4)+IF($C$80="x",1)-IF($I$77="x",2)-IF($I$90="x",2)+IF($I$83="x",2)-IF($C$83="x",4)-$C$112-5+IF(H624="x",1)+IF(H253="x",1)+I253+$M$77+IF(H255="x",1)+IF(J255="x",1)+IF($M$76="x",2)+J253+IF($M$85="x",1)+IF($M$113="x",1)+IF($M$120="x",2)+IF($M$119="x",2)+IF($M$105="x",1)+IF($M$110="x",1)+IF($M$111="x",2)+IF($M$112="x",4)+IF($M$108="x",1)-IF($M$109="x",1)-IF($M$99="x",1)+IF($M$90="x",1)-IF($C$97="x",4,6)
&amp;"/"&amp;SUM($C$3,$I$2)-$C$120+IF($C$75="x",2)+$I$16-$B$10+$M$94+IF($C$77="x",2)-IF($C$78="x",4)-IF($I$78="x",1)-IF($C$79="x",4)+IF($C$80="x",1)-IF($I$77="x",2)-IF($I$90="x",2)+IF($I$83="x",2)-IF($C$83="x",4)-$C$112-10+IF(H624="x",1)+IF(H253="x",1)+I253+$M$77+IF(H255="x",1)+IF(J255="x",1)+IF($M$76="x",2)+J253+IF($M$85="x",1)+IF($M$113="x",1)+IF($M$120="x",2)+IF($M$119="x",2)+IF($M$105="x",1)+IF($M$110="x",1)+IF($M$111="x",2)+IF($M$112="x",4)+IF($M$108="x",1)-IF($M$109="x",1)-IF($M$99="x",1)+IF($M$90="x",1)-IF($C$97="x",4,6),
IF(AND($C$3&gt;15),SUM($C$3,$I$2)-$C$120+IF($C$75="x",2)+$I$16-$B$10+$M$94+IF($C$77="x",2)-IF($C$78="x",4)-IF($I$78="x",1)-IF($C$79="x",4)+IF($C$80="x",1)-IF($I$77="x",2)-IF($I$90="x",2)+IF($I$83="x",2)-IF($C$83="x",4)-$C$112+IF(H253="x",1)+I253+$M$77+IF(H255="x",1)+IF(J255="x",1)+IF($M$76="x",2)+J253+IF($M$85="x",1)+IF($M$113="x",1)+IF($M$120="x",2)+IF($M$119="x",2)+IF($M$105="x",1)+IF($M$110="x",1)+IF($M$111="x",2)+IF($M$112="x",4)+IF($M$108="x",1)-IF($M$109="x",1)-IF($M$99="x",1)+IF($M$90="x",1)-IF($C$97="x",4,6)
&amp;"/"&amp;SUM($C$3,$I$2)-$C$120+IF($C$75="x",2)+$I$16-$B$10+$M$94+IF($C$77="x",2)-IF($C$78="x",4)-IF($I$78="x",1)-IF($C$79="x",4)+IF($C$80="x",1)-IF($I$77="x",2)-IF($I$90="x",2)+IF($I$83="x",2)-IF($C$83="x",4)-$C$112-5+IF(H624="x",1)+IF(H253="x",1)+I253+$M$77+IF(H255="x",1)+IF(J255="x",1)+IF($M$76="x",2)+J253+IF($M$85="x",1)+IF($M$113="x",1)+IF($M$120="x",2)+IF($M$119="x",2)+IF($M$105="x",1)+IF($M$110="x",1)+IF($M$111="x",2)+IF($M$112="x",4)+IF($M$108="x",1)-IF($M$109="x",1)-IF($M$99="x",1)+IF($M$90="x",1)-IF($C$97="x",4,6)
&amp;"/"&amp;SUM($C$3,$I$2)-$C$120+IF($C$75="x",2)+$I$16-$B$10+$M$94+IF($C$77="x",2)-IF($C$78="x",4)-IF($I$78="x",1)-IF($C$79="x",4)+IF($C$80="x",1)-IF($I$77="x",2)-IF($I$90="x",2)+IF($I$83="x",2)-IF($C$83="x",4)-$C$112-10+IF(H624="x",1)+IF(H253="x",1)+I253+$M$77+IF(H255="x",1)+IF(J255="x",1)+IF($M$76="x",2)+J253+IF($M$85="x",1)+IF($M$113="x",1)+IF($M$120="x",2)+IF($M$119="x",2)+IF($M$105="x",1)+IF($M$110="x",1)+IF($M$111="x",2)+IF($M$112="x",4)+IF($M$108="x",1)-IF($M$109="x",1)-IF($M$99="x",1)+IF($M$90="x",1)-IF($C$97="x",4,6)
&amp;"/"&amp;SUM($C$3,$I$2)-$C$120+IF($C$75="x",2)+$I$16-$B$10+$M$94+IF($C$77="x",2)-IF($C$78="x",4)-IF($I$78="x",1)-IF($C$79="x",4)+IF($C$80="x",1)-IF($I$77="x",2)-IF($I$90="x",2)+IF($I$83="x",2)-IF($C$83="x",4)-$C$112-15+IF(H624="x",1)+IF(H253="x",1)+I253+$M$77+IF(H255="x",1)+IF(J255="x",1)+IF($M$76="x",2)+J253+IF($M$85="x",1)+IF($M$113="x",1)+IF($M$120="x",2)+IF($M$119="x",2)+IF($M$105="x",1)+IF($M$110="x",1)+IF($M$111="x",2)+IF($M$112="x",4)+IF($M$108="x",1)-IF($M$109="x",1)-IF($M$99="x",1)+IF($M$90="x",1)-IF($C$97="x",4,6))))))</f>
        <v>-6</v>
      </c>
      <c r="C256" s="49" t="str">
        <f>_xlfn.IFS($C$7="Minimaalinen","1",$C$7="Taskukokoinen","1n2",$C$7="Hyvin pieni","1n3",$C$7="Pieni","1n4",$C$7="Keskikokoinen","1n6",$C$7="Iso","1n8",$C$7="Valtava","2n6",$C$7="Suunnaton","3n6",$C$7="Giganttinen","4n6")</f>
        <v>1n6</v>
      </c>
      <c r="D256" s="121">
        <f>SUM($I$2+$C$120)+I253+$M$77+IF(I255="x",2)+IF(K255="x",2)+IF($M$119="x",2)+IF($M$108="x",1)+$M$94-IF($M$109="x",1)+K253</f>
        <v>0</v>
      </c>
      <c r="E256" s="49" t="str">
        <f>_xlfn.IFS($C$7="Minimaalinen","2",$C$7="Taskukokoinen","2n2",$C$7="Hyvin pieni","2n3",$C$7="Pieni","2n4",$C$7="Keskikokoinen","2n6",$C$7="Iso","2n8",$C$7="Valtava","4n6",$C$7="Suunnaton","6n6",$C$7="Giganttinen","8n6")</f>
        <v>2n6</v>
      </c>
      <c r="F256" s="12">
        <f>SUM(D256*2)</f>
        <v>0</v>
      </c>
      <c r="G256" s="82" t="str">
        <f>(IF($I$89="x","50 %","")&amp;(IF($C$81="x","20 %",""))&amp;(IF($C$82="x","50 %","")))</f>
        <v/>
      </c>
      <c r="H256" s="14" t="s">
        <v>182</v>
      </c>
      <c r="I256" s="15"/>
    </row>
    <row r="257" spans="1:38" x14ac:dyDescent="0.2">
      <c r="A257" s="122" t="s">
        <v>436</v>
      </c>
      <c r="B257" s="123">
        <f>IF($I$85="x","PAINISSA",IF(AND($C$90="",$C$118=""),SUM($C$3,$I$2)-$C$120+IF($C$75="x",2)+$I$16-$B$10+$M$94+IF($C$77="x",2)-IF($C$78="x",4)-IF($I$78="x",1)-IF($C$79="x",4)+IF($C$80="x",1)-IF($I$77="x",2)-IF($I$90="x",2)+IF($I$83="x",2)-IF($C$75="x",4)-$C$112+IF(H253="x",1)+I253+$M$77+IF(H255="x",1)+IF(J255="x",1)+IF($M$76="x",2)+J253+IF($M$85="x",1)+IF($M$113="x",1)+IF($M$120="x",2)+IF($M$119="x",2)+IF($M$105="x",1)+IF($M$110="x",1)+IF($M$111="x",2)+IF($M$112="x",4)+IF($M$108="x",1)-IF($M$109="x",1)-IF($M$99="x",1)+IF($M$90="x",1)-IF($C$97="x",4,10),
IF(AND($C$90="x",$C$118=""),SUM($C$3,$I$2)-$C$120+IF($C$75="x",2)+$I$16-$B$10+$M$94+IF($C$77="x",2)-IF($C$78="x",4)-IF($I$78="x",1)-IF($C$79="x",4)+IF($C$80="x",1)-IF($I$77="x",2)-IF($I$90="x",2)+IF($I$83="x",2)-IF($C$83="x",4)-$C$112+IF(H253="x",1)+I253+$M$77+IF(H255="x",1)+IF(J255="x",1)+IF($M$76="x",2)+J253+IF($M$85="x",1)+IF($M$113="x",1)+IF($M$120="x",2)+IF($M$119="x",2)+IF($M$105="x",1)+IF($M$110="x",1)+IF($M$111="x",2)+IF($M$112="x",4)+IF($M$108="x",1)-IF($M$109="x",1)-IF($M$99="x",1)+IF($M$90="x",1)-IF($C$97="x",4,10)
&amp;"/"&amp;SUM($C$3,$I$2)-$C$120+IF($C$75="x",2)+$I$16-$B$10+$M$94+IF($C$77="x",2)-IF($C$78="x",4)-IF($I$78="x",1)-IF($C$79="x",4)+IF($C$80="x",1)-IF($I$77="x",2)-IF($I$90="x",2)+IF($I$83="x",2)-IF($C$83="x",4)-$C$112+IF(H253="x",1)+I253+$M$77+IF(H255="x",1)+IF(J255="x",1)+IF($M$76="x",2)+J253+IF($M$85="x",1)+IF($M$113="x",1)+IF($M$120="x",2)+IF($M$119="x",2)+IF($M$105="x",1)+IF($M$110="x",1)+IF($M$111="x",2)+IF($M$112="x",4)+IF($M$108="x",1)-IF($M$109="x",1)-IF($M$99="x",1)+IF($M$90="x",1)-IF($C$97="x",4,10)-5,
IF(AND($C$90="x",$C$118="x"),SUM($C$3,$I$2)-$C$120+IF($C$75="x",2)+$I$16-$B$10+$M$94+IF($C$77="x",2)-IF($C$78="x",4)-IF($I$78="x",1)-IF($C$79="x",4)+IF($C$80="x",1)-IF($I$77="x",2)-IF($I$90="x",2)+IF($I$83="x",2)-IF($C$83="x",4)-$C$112+IF(H253="x",1)+I253+$M$77+IF(H255="x",1)+IF(J255="x",1)+IF($M$76="x",2)+J253+IF($M$85="x",1)+IF($M$113="x",1)+IF($M$120="x",2)+IF($M$119="x",2)+IF($M$105="x",1)+IF($M$110="x",1)+IF($M$111="x",2)+IF($M$112="x",4)+IF($M$108="x",1)-IF($M$109="x",1)+IF($M$99="x",20)-IF($M$99="x",1)+IF($M$90="x",1)-IF($C$97="x",4,10)
&amp;"/"&amp;SUM($C$3,$I$2)-$C$120+IF($C$75="x",2)+$I$16-$B$10+$M$94+IF($C$77="x",2)-IF($C$78="x",4)-IF($I$78="x",1)-IF($C$79="x",4)+IF($C$80="x",1)-IF($I$77="x",2)-IF($I$90="x",2)+IF($I$83="x",2)-IF($C$83="x",4)-$C$112-5+IF(H253="x",1)+I253+$M$77+IF(H255="x",1)+IF(J255="x",1)+IF($M$76="x",2)+J253+IF($M$85="x",1)+IF($M$113="x",1)+IF($M$120="x",2)+IF($M$119="x",2)+IF($M$105="x",1)+IF($M$110="x",1)+IF($M$111="x",2)+IF($M$112="x",4)+IF($M$108="x",1)-IF($M$109="x",1)-IF($M$99="x",1)+IF($M$90="x",1)-IF($C$97="x",4,10)
&amp;"/"&amp;SUM($C$3,$I$2)-$C$120+IF($C$75="x",2)+$I$16-$B$10+$M$94+IF($C$77="x",2)-IF($C$78="x",4)-IF($I$78="x",1)-IF($C$79="x",4)+IF($C$80="x",1)-IF($I$77="x",2)-IF($I$90="x",2)+IF($I$83="x",2)-IF($C$83="x",4)-$C$112-10+IF(H253="x",1)+I253+$M$77+IF(H255="x",1)+IF(J255="x",1)+IF($M$76="x",2)+J253+IF($M$85="x",1)+IF($M$113="x",1)+IF($M$120="x",2)+IF($M$119="x",2)+IF($M$105="x",1)+IF($M$110="x",1)+IF($M$111="x",2)+IF($M$112="x",4)+IF($M$108="x",1)-IF($M$109="x",1)-IF($M$99="x",1)+IF($M$90="x",1)-IF($C$97="x",4,10)))))</f>
        <v>-10</v>
      </c>
      <c r="C257" s="54" t="str">
        <f>_xlfn.IFS($C$7="Minimaalinen","1",$C$7="Taskukokoinen","1n2",$C$7="Hyvin pieni","1n3",$C$7="Pieni","1n4",$C$7="Keskikokoinen","1n6",$C$7="Iso","1n8",$C$7="Valtava","2n6",$C$7="Suunnaton","3n6",$C$7="Giganttinen","4n6")</f>
        <v>1n6</v>
      </c>
      <c r="D257" s="123">
        <f>INT($I$2/2)+($C$120)+I253+$M$77+IF(I255="x",2)+IF(K255="x",2)+IF($M$119="x",2)+IF($M$108="x",1)+$M$94+K253-IF($M$109="x",1)</f>
        <v>0</v>
      </c>
      <c r="E257" s="54" t="str">
        <f>_xlfn.IFS($C$7="Minimaalinen","2",$C$7="Taskukokoinen","2n2",$C$7="Hyvin pieni","2n3",$C$7="Pieni","2n4",$C$7="Keskikokoinen","2n6",$C$7="Iso","2n8",$C$7="Valtava","4n6",$C$7="Suunnaton","6n6",$C$7="Giganttinen","8n6")</f>
        <v>2n6</v>
      </c>
      <c r="F257" s="124">
        <f>SUM(D257*2)</f>
        <v>0</v>
      </c>
      <c r="G257" s="124" t="str">
        <f>(IF($I$89="x","50 %","")&amp;(IF($C$81="x","20 %",""))&amp;(IF($C$82="x","50 %","")))</f>
        <v/>
      </c>
      <c r="H257" s="28"/>
      <c r="K257" s="82"/>
    </row>
    <row r="258" spans="1:38" x14ac:dyDescent="0.2">
      <c r="A258" s="125" t="s">
        <v>250</v>
      </c>
      <c r="B258" s="25"/>
      <c r="C258" s="133"/>
      <c r="D258" s="133"/>
      <c r="E258" s="133"/>
      <c r="F258" s="133"/>
      <c r="G258" s="133"/>
      <c r="H258" s="133"/>
      <c r="I258" s="133"/>
      <c r="J258" s="133"/>
      <c r="K258" s="133"/>
      <c r="AB258" s="115"/>
      <c r="AC258" s="116"/>
      <c r="AD258" s="116"/>
      <c r="AE258" s="116"/>
      <c r="AF258" s="116"/>
      <c r="AG258" s="116"/>
      <c r="AH258" s="116"/>
      <c r="AI258" s="48"/>
      <c r="AJ258" s="48"/>
      <c r="AK258" s="48"/>
      <c r="AL258" s="48"/>
    </row>
    <row r="259" spans="1:38" x14ac:dyDescent="0.2">
      <c r="A259" s="126">
        <f>IF($C$98="x",10*1.5,10)</f>
        <v>10</v>
      </c>
      <c r="B259" s="121">
        <f>_xlfn.IFS($I$85="x",
"PAINISSA",
$C$106="",
SUM($C$3,$I$3)+IF(H257="x",1)+$I$16-$B$10+$M$94+IF($C$77="x",2)-IF($C$78="x",4)-IF($I$78="x",1)-IF($I$77="x",2)-IF($I$90="x",2)+IF($I$83="x",2)-IF($C$76="x",4)-$C$112+IF(H253="x",1)+I253+$M$77+IF(H255="x",1)+IF(J255="x",1)+IF($M$76="x",2)+J253+IF($M$85="x",1)+IF($M$113="x",1)+IF($M$120="x",2)+IF($M$119="x",2)+IF($M$105="x",1)+IF($M$110="x",1)+IF($M$111="x",2)+IF($M$112="x",4)+IF($M$108="x",1)-IF($M$109="x",1)-IF($M$99="x",1)+IF($M$90="x",1),
$B$3&lt;6,
SUM($C$3,$I$3)+IF(H257="x",1)+$I$16-$B$10+$M$94+IF($C$77="x",2)-IF($C$78="x",4)-IF($I$78="x",1)-IF($I$77="x",2)-IF($I$90="x",2)+IF($I$83="x",2)-IF($C$76="x",4)-$C$112+IF(H253="x",1)+I253+$M$77+IF(H255="x",1)+IF(J255="x",1)+IF($M$76="x",2)+J253+IF($M$85="x",1)+IF($M$113="x",1)+IF($M$120="x",2)+IF($M$119="x",2)+IF($M$105="x",1)+IF($M$110="x",1)+IF($M$111="x",2)+IF($M$112="x",4)+IF($M$108="x",1)-IF($M$109="x",1)-IF($M$99="x",1)+IF($M$90="x",1),
$B$3&lt;11,
SUM($C$3,$I$3)+IF(H257="x",1)+$I$16-$B$10+$M$94+IF($C$77="x",2)-IF($C$78="x",4)-IF($I$78="x",1)-IF($I$77="x",2)-IF($I$90="x",2)+IF($I$83="x",2)-IF($C$76="x",4)-$C$112+IF(H253="x",1)+I253+$M$77+IF(H255="x",1)+IF(J255="x",1)+IF($M$76="x",2)+J253+IF($M$85="x",1)+IF($M$113="x",1)+IF($M$120="x",2)+IF($M$119="x",2)+IF($M$105="x",1)+IF($M$110="x",1)+IF($M$111="x",2)+IF($M$112="x",4)+IF($M$108="x",1)-IF($M$109="x",1)-IF($M$99="x",1)+IF($M$90="x",1)
&amp;"/"&amp;SUM($C$3,$I$3)+IF(H257="x",1)+$I$16-$B$10+$M$94+IF($C$77="x",2)-IF($C$78="x",4)-IF($I$78="x",1)-IF($I$77="x",2)-IF($I$90="x",2)+IF($I$83="x",2)-IF($C$76="x",4)-$C$112+IF(H253="x",1)+I253+$M$77+IF(H255="x",1)+IF(J255="x",1)+IF($M$76="x",2)+J253+IF($M$85="x",1)+IF($M$113="x",1)+IF($M$120="x",2)+IF($M$119="x",2)+IF($M$105="x",1)+IF($M$110="x",1)+IF($M$111="x",2)+IF($M$112="x",4)+IF($M$108="x",1)-IF($M$109="x",1)-IF($M$99="x",1)+IF($M$90="x",1)-5,
$B$3&lt;16,
SUM($C$3,$I$3)+IF(H257="x",1)+$I$16-$B$10+$M$94+IF($C$77="x",2)-IF($C$78="x",4)-IF($I$78="x",1)-IF($I$77="x",2)-IF($I$90="x",2)+IF($I$83="x",2)-IF($C$76="x",4)-$C$112+IF(H253="x",1)+I253+$M$77+IF(H255="x",1)+IF(J255="x",1)+IF($M$76="x",2)+J253+IF($M$85="x",1)+IF($M$113="x",1)+IF($M$120="x",2)+IF($M$119="x",2)+IF($M$105="x",1)+IF($M$110="x",1)+IF($M$111="x",2)+IF($M$112="x",4)+IF($M$108="x",1)-IF($M$109="x",1)-IF($M$99="x",1)+IF($M$90="x",1)
&amp;"/"&amp;SUM($C$3,$I$3)+IF(H257="x",1)+$I$16-$B$10+$M$94+IF($C$77="x",2)-IF($C$78="x",4)-IF($I$78="x",1)-IF($I$77="x",2)-IF($I$90="x",2)+IF($I$83="x",2)-IF($C$76="x",4)-$C$112+IF(H253="x",1)+I253+$M$77+IF(H255="x",1)+IF(J255="x",1)+IF($M$76="x",2)+J253+IF($M$85="x",1)+IF($M$113="x",1)+IF($M$120="x",2)+IF($M$119="x",2)+IF($M$105="x",1)+IF($M$110="x",1)+IF($M$111="x",2)+IF($M$112="x",4)+IF($M$108="x",1)-IF($M$109="x",1)-IF($M$99="x",1)+IF($M$90="x",1)-5
&amp;"/"&amp;SUM($C$3,$I$3)+IF(H257="x",1)+$I$16-$B$10+$M$94+IF($C$77="x",2)-IF($C$78="x",4)-IF($I$78="x",1)-IF($I$77="x",2)-IF($I$90="x",2)+IF($I$83="x",2)-IF($C$76="x",4)-$C$112+IF(H253="x",1)+I253+$M$77+IF(H255="x",1)+IF(J255="x",1)+IF($M$76="x",2)+J253+IF($M$85="x",1)+IF($M$113="x",1)+IF($M$120="x",2)+IF($M$119="x",2)+IF($M$105="x",1)+IF($M$110="x",1)+IF($M$111="x",2)+IF($M$112="x",4)+IF($M$108="x",1)-IF($M$109="x",1)-IF($M$99="x",1)+IF($M$90="x",1)-10,
$B$3&gt;=16,
SUM($C$3,$I$3)+IF(H257="x",1)+$I$16-$B$10+$M$94+IF($C$77="x",2)-IF($C$78="x",4)-IF($I$78="x",1)-IF($I$77="x",2)-IF($I$90="x",2)+IF($I$83="x",2)-IF($C$76="x",4)-$C$112+IF(H253="x",1)+I253+$M$77+IF(H255="x",1)+IF(J255="x",1)+IF($M$76="x",2)+J253+IF($M$85="x",1)+IF($M$113="x",1)+IF($M$120="x",2)+IF($M$119="x",2)+IF($M$105="x",1)+IF($M$110="x",1)+IF($M$111="x",2)+IF($M$112="x",4)+IF($M$108="x",1)-IF($M$109="x",1)-IF($M$99="x",1)+IF($M$90="x",1)
&amp;"/"&amp;SUM($C$3,$I$3)+IF(H257="x",1)+$I$16-$B$10+$M$94+IF($C$77="x",2)-IF($C$78="x",4)-IF($I$78="x",1)-IF($I$77="x",2)-IF($I$90="x",2)+IF($I$83="x",2)-IF($C$76="x",4)-$C$112+IF(H253="x",1)+I253+$M$77+IF(H255="x",1)+IF(J255="x",1)+IF($M$76="x",2)+J253+IF($M$85="x",1)+IF($M$113="x",1)+IF($M$120="x",2)+IF($M$119="x",2)+IF($M$105="x",1)+IF($M$110="x",1)+IF($M$111="x",2)+IF($M$112="x",4)+IF($M$108="x",1)-IF($M$109="x",1)-IF($M$99="x",1)+IF($M$90="x",1)-5
&amp;"/"&amp;SUM($C$3,$I$3)+IF(H257="x",1)+$I$16-$B$10+$M$94+IF($C$77="x",2)-IF($C$78="x",4)-IF($I$78="x",1)-IF($I$77="x",2)-IF($I$90="x",2)+IF($I$83="x",2)-IF($C$76="x",4)-$C$112+IF(H253="x",1)+I253+$M$77+IF(H255="x",1)+IF(J255="x",1)+IF($M$76="x",2)+J253+IF($M$85="x",1)+IF($M$113="x",1)+IF($M$120="x",2)+IF($M$119="x",2)+IF($M$105="x",1)+IF($M$110="x",1)+IF($M$111="x",2)+IF($M$112="x",4)+IF($M$108="x",1)-IF($M$109="x",1)-IF($M$99="x",1)+IF($M$90="x",1)-10
&amp;"/"&amp;SUM($C$3,$I$3)+IF(H257="x",1)+$I$16-$B$10+$M$94+IF($C$77="x",2)-IF($C$78="x",4)-IF($I$78="x",1)-IF($I$77="x",2)-IF($I$90="x",2)+IF($I$83="x",2)-IF($C$76="x",4)-$C$112+IF(H253="x",1)+I253+$M$77+IF(H255="x",1)+IF(J255="x",1)+IF($M$76="x",2)+J253+IF($M$85="x",1)+IF($M$113="x",1)+IF($M$120="x",2)+IF($M$119="x",2)+IF($M$105="x",1)+IF($M$110="x",1)+IF($M$111="x",2)+IF($M$112="x",4)+IF($M$108="x",1)-IF($M$109="x",1)-IF($M$99="x",1)+IF($M$90="x",1)-15)</f>
        <v>0</v>
      </c>
      <c r="C259" s="49" t="str">
        <f>_xlfn.IFS($C$7="Minimaalinen","1",$C$7="Taskukokoinen","1n2",$C$7="Hyvin pieni","1n3",$C$7="Pieni","1n4",$C$7="Keskikokoinen","1n6",$C$7="Iso","1n8",$C$7="Valtava","2n6",$C$7="Suunnaton","3n6",$C$7="Giganttinen","4n6")</f>
        <v>1n6</v>
      </c>
      <c r="D259" s="51">
        <f>SUM($I$2+$C$120)+I253+$M$77+IF(I255="x",2)+IF(K255="x",2)+IF($M$119="x",2)+IF($M$108="x",1)+$M$94-IF($M$109="x",1)+K253+IF(H257="x",1)</f>
        <v>0</v>
      </c>
      <c r="E259" s="49" t="str">
        <f>_xlfn.IFS($C$7="Minimaalinen","2",$C$7="Taskukokoinen","2n2",$C$7="Hyvin pieni","2n3",$C$7="Pieni","2n4",$C$7="Keskikokoinen","2n6",$C$7="Iso","2n8",$C$7="Valtava","4n6",$C$7="Suunnaton","6n6",$C$7="Giganttinen","8n6")</f>
        <v>2n6</v>
      </c>
      <c r="F259" s="82">
        <f>SUM(D259*2)</f>
        <v>0</v>
      </c>
      <c r="G259" s="82" t="str">
        <f>(IF($I$89="x","50 %","")&amp;(IF($C$81="x","20 %",""))&amp;(IF($C$82="x","50 %","")))</f>
        <v/>
      </c>
      <c r="H259" s="133"/>
      <c r="I259" s="133"/>
      <c r="J259" s="133"/>
      <c r="K259" s="133"/>
      <c r="AB259" s="128"/>
      <c r="AC259" s="66"/>
      <c r="AD259" s="66"/>
      <c r="AE259" s="129"/>
      <c r="AF259" s="49"/>
      <c r="AG259" s="66"/>
      <c r="AH259" s="66"/>
      <c r="AI259" s="40"/>
      <c r="AJ259" s="40"/>
      <c r="AK259" s="40"/>
      <c r="AL259" s="40"/>
    </row>
    <row r="260" spans="1:38" x14ac:dyDescent="0.2">
      <c r="A260" s="127">
        <f>A259*2</f>
        <v>20</v>
      </c>
      <c r="B260" s="123">
        <f>_xlfn.IFS($I$85="x",
"PAINISSA",
$C$106="",
SUM($C$3,$I$3)+IF(H257="x",1)+$I$16-$B$10+$M$94+IF($C$77="x",2)-IF($C$78="x",4)-IF($I$78="x",1)-IF($I$77="x",2)-IF($I$90="x",2)+IF($I$83="x",2)-IF($C$76="x",4)-$C$112+IF(H253="x",1)+I253+$M$77+IF(H255="x",1)+IF(J255="x",1)+IF($M$76="x",2)+J253+IF($M$85="x",1)+IF($M$113="x",1)+IF($M$120="x",2)+IF($M$119="x",2)+IF($M$105="x",1)+IF($M$110="x",1)+IF($M$111="x",2)+IF($M$112="x",4)+IF($M$108="x",1)-IF($M$109="x",1)-IF($M$99="x",1)+IF($M$90="x",1)-2,
$B$3&lt;6,
SUM($C$3,$I$3)+IF(H257="x",1)+$I$16-$B$10+$M$94+IF($C$77="x",2)-IF($C$78="x",4)-IF($I$78="x",1)-IF($I$77="x",2)-IF($I$90="x",2)+IF($I$83="x",2)-IF($C$76="x",4)-$C$112+IF(H253="x",1)+I253+$M$77+IF(H255="x",1)+IF(J255="x",1)+IF($M$76="x",2)+J253+IF($M$85="x",1)+IF($M$113="x",1)+IF($M$120="x",2)+IF($M$119="x",2)+IF($M$105="x",1)+IF($M$110="x",1)+IF($M$111="x",2)+IF($M$112="x",4)+IF($M$108="x",1)-IF($M$109="x",1)-IF($M$99="x",1)+IF($M$90="x",1)-2,
$B$3&lt;11,
SUM($C$3,$I$3)+IF(H257="x",1)+$I$16-$B$10+$M$94+IF($C$77="x",2)-IF($C$78="x",4)-IF($I$78="x",1)-IF($I$77="x",2)-IF($I$90="x",2)+IF($I$83="x",2)-IF($C$76="x",4)-$C$112+IF(H253="x",1)+I253+$M$77+IF(H255="x",1)+IF(J255="x",1)+IF($M$76="x",2)+J253+IF($M$85="x",1)+IF($M$113="x",1)+IF($M$120="x",2)+IF($M$119="x",2)+IF($M$105="x",1)+IF($M$110="x",1)+IF($M$111="x",2)+IF($M$112="x",4)+IF($M$108="x",1)-IF($M$109="x",1)-IF($M$99="x",1)+IF($M$90="x",1)-2
&amp;"/"&amp;SUM($C$3,$I$3)+IF(H257="x",1)+$I$16-$B$10+$M$94+IF($C$77="x",2)-IF($C$78="x",4)-IF($I$78="x",1)-IF($I$77="x",2)-IF($I$90="x",2)+IF($I$83="x",2)-IF($C$76="x",4)-$C$112+IF(H253="x",1)+I253+$M$77+IF(H255="x",1)+IF(J255="x",1)+IF($M$76="x",2)+J253+IF($M$85="x",1)+IF($M$113="x",1)+IF($M$120="x",2)+IF($M$119="x",2)+IF($M$105="x",1)+IF($M$110="x",1)+IF($M$111="x",2)+IF($M$112="x",4)+IF($M$108="x",1)-IF($M$109="x",1)-IF($M$99="x",1)+IF($M$90="x",1)-5-2,
$B$3&lt;16,
SUM($C$3,$I$3)+IF(H257="x",1)+$I$16-$B$10+$M$94+IF($C$77="x",2)-IF($C$78="x",4)-IF($I$78="x",1)-IF($I$77="x",2)-IF($I$90="x",2)+IF($I$83="x",2)-IF($C$76="x",4)-$C$112+IF(H253="x",1)+I253+$M$77+IF(H255="x",1)+IF(J255="x",1)+IF($M$76="x",2)+J253+IF($M$85="x",1)+IF($M$113="x",1)+IF($M$120="x",2)+IF($M$119="x",2)+IF($M$105="x",1)+IF($M$110="x",1)+IF($M$111="x",2)+IF($M$112="x",4)+IF($M$108="x",1)-IF($M$109="x",1)-IF($M$99="x",1)+IF($M$90="x",1)-2
&amp;"/"&amp;SUM($C$3,$I$3)+IF(H257="x",1)+$I$16-$B$10+$M$94+IF($C$77="x",2)-IF($C$78="x",4)-IF($I$78="x",1)-IF($I$77="x",2)-IF($I$90="x",2)+IF($I$83="x",2)-IF($C$76="x",4)-$C$112+IF(H253="x",1)+I253+$M$77+IF(H255="x",1)+IF(J255="x",1)+IF($M$76="x",2)+J253+IF($M$85="x",1)+IF($M$113="x",1)+IF($M$120="x",2)+IF($M$119="x",2)+IF($M$105="x",1)+IF($M$110="x",1)+IF($M$111="x",2)+IF($M$112="x",4)+IF($M$108="x",1)-IF($M$109="x",1)-IF($M$99="x",1)+IF($M$90="x",1)-5-2
&amp;"/"&amp;SUM($C$3,$I$3)+IF(H257="x",1)+$I$16-$B$10+$M$94+IF($C$77="x",2)-IF($C$78="x",4)-IF($I$78="x",1)-IF($I$77="x",2)-IF($I$90="x",2)+IF($I$83="x",2)-IF($C$76="x",4)-$C$112+IF(H253="x",1)+I253+$M$77+IF(H255="x",1)+IF(J255="x",1)+IF($M$76="x",2)+J253+IF($M$85="x",1)+IF($M$113="x",1)+IF($M$120="x",2)+IF($M$119="x",2)+IF($M$105="x",1)+IF($M$110="x",1)+IF($M$111="x",2)+IF($M$112="x",4)+IF($M$108="x",1)-IF($M$109="x",1)-IF($M$99="x",1)+IF($M$90="x",1)-10-2,
$B$3&gt;=16,
SUM($C$3,$I$3)+IF(H257="x",1)+$I$16-$B$10+$M$94+IF($C$77="x",2)-IF($C$78="x",4)-IF($I$78="x",1)-IF($I$77="x",2)-IF($I$90="x",2)+IF($I$83="x",2)-IF($C$76="x",4)-$C$112+IF(H253="x",1)+I253+$M$77+IF(H255="x",1)+IF(J255="x",1)+IF($M$76="x",2)+J253+IF($M$85="x",1)+IF($M$113="x",1)+IF($M$120="x",2)+IF($M$119="x",2)+IF($M$105="x",1)+IF($M$110="x",1)+IF($M$111="x",2)+IF($M$112="x",4)+IF($M$108="x",1)-IF($M$109="x",1)-IF($M$99="x",1)+IF($M$90="x",1)-2
&amp;"/"&amp;SUM($C$3,$I$3)+IF(H257="x",1)+$I$16-$B$10+$M$94+IF($C$77="x",2)-IF($C$78="x",4)-IF($I$78="x",1)-IF($I$77="x",2)-IF($I$90="x",2)+IF($I$83="x",2)-IF($C$76="x",4)-$C$112+IF(H253="x",1)+I253+$M$77+IF(H255="x",1)+IF(J255="x",1)+IF($M$76="x",2)+J253+IF($M$85="x",1)+IF($M$113="x",1)+IF($M$120="x",2)+IF($M$119="x",2)+IF($M$105="x",1)+IF($M$110="x",1)+IF($M$111="x",2)+IF($M$112="x",4)+IF($M$108="x",1)-IF($M$109="x",1)-IF($M$99="x",1)+IF($M$90="x",1)-5-2
&amp;"/"&amp;SUM($C$3,$I$3)+IF(H257="x",1)+$I$16-$B$10+$M$94+IF($C$77="x",2)-IF($C$78="x",4)-IF($I$78="x",1)-IF($I$77="x",2)-IF($I$90="x",2)+IF($I$83="x",2)-IF($C$76="x",4)-$C$112+IF(H253="x",1)+I253+$M$77+IF(H255="x",1)+IF(J255="x",1)+IF($M$76="x",2)+J253+IF($M$85="x",1)+IF($M$113="x",1)+IF($M$120="x",2)+IF($M$119="x",2)+IF($M$105="x",1)+IF($M$110="x",1)+IF($M$111="x",2)+IF($M$112="x",4)+IF($M$108="x",1)-IF($M$109="x",1)-IF($M$99="x",1)+IF($M$90="x",1)-10-2
&amp;"/"&amp;SUM($C$3,$I$3)+IF(H257="x",1)+$I$16-$B$10+$M$94+IF($C$77="x",2)-IF($C$78="x",4)-IF($I$78="x",1)-IF($I$77="x",2)-IF($I$90="x",2)+IF($I$83="x",2)-IF($C$76="x",4)-$C$112+IF(H253="x",1)+I253+$M$77+IF(H255="x",1)+IF(J255="x",1)+IF($M$76="x",2)+J253+IF($M$85="x",1)+IF($M$113="x",1)+IF($M$120="x",2)+IF($M$119="x",2)+IF($M$105="x",1)+IF($M$110="x",1)+IF($M$111="x",2)+IF($M$112="x",4)+IF($M$108="x",1)-IF($M$109="x",1)-IF($M$99="x",1)+IF($M$90="x",1)-15-2)</f>
        <v>-2</v>
      </c>
      <c r="C260" s="135"/>
      <c r="D260" s="136"/>
      <c r="E260" s="135"/>
      <c r="F260" s="135"/>
      <c r="G260" s="123" t="str">
        <f>(IF($I$89="x","50 %","")&amp;(IF($C$81="x","20 %",""))&amp;(IF($C$82="x","50 %","")))</f>
        <v/>
      </c>
      <c r="H260" s="133"/>
      <c r="I260" s="133"/>
      <c r="J260" s="133"/>
      <c r="K260" s="133"/>
      <c r="AB260" s="47"/>
      <c r="AC260" s="113"/>
      <c r="AD260" s="114"/>
      <c r="AE260" s="113"/>
      <c r="AF260" s="114"/>
      <c r="AG260" s="114"/>
      <c r="AH260" s="114"/>
      <c r="AI260" s="48"/>
      <c r="AJ260" s="48"/>
      <c r="AK260" s="48"/>
      <c r="AL260" s="48"/>
    </row>
    <row r="261" spans="1:38" x14ac:dyDescent="0.2">
      <c r="A261" s="126">
        <f>A259*3</f>
        <v>30</v>
      </c>
      <c r="B261" s="121">
        <f>_xlfn.IFS($I$85="x",
"PAINISSA",
$C$106="",
SUM($C$3,$I$3)+IF(H257="x",1)+$I$16-$B$10+$M$94+IF($C$77="x",2)-IF($C$78="x",4)-IF($I$78="x",1)-IF($I$77="x",2)-IF($I$90="x",2)+IF($I$83="x",2)-IF($C$76="x",4)-$C$112+IF(H253="x",1)+I253+$M$77+IF(H255="x",1)+IF(J255="x",1)+IF($M$76="x",2)+J253+IF($M$85="x",1)+IF($M$113="x",1)+IF($M$120="x",2)+IF($M$119="x",2)+IF($M$105="x",1)+IF($M$110="x",1)+IF($M$111="x",2)+IF($M$112="x",4)+IF($M$108="x",1)-IF($M$109="x",1)-IF($M$99="x",1)+IF($M$90="x",1)-4,
$B$3&lt;6,
SUM($C$3,$I$3)+IF(H257="x",1)+$I$16-$B$10+$M$94+IF($C$77="x",2)-IF($C$78="x",4)-IF($I$78="x",1)-IF($I$77="x",2)-IF($I$90="x",2)+IF($I$83="x",2)-IF($C$76="x",4)-$C$112+IF(H253="x",1)+I253+$M$77+IF(H255="x",1)+IF(J255="x",1)+IF($M$76="x",2)+J253+IF($M$85="x",1)+IF($M$113="x",1)+IF($M$120="x",2)+IF($M$119="x",2)+IF($M$105="x",1)+IF($M$110="x",1)+IF($M$111="x",2)+IF($M$112="x",4)+IF($M$108="x",1)-IF($M$109="x",1)-IF($M$99="x",1)+IF($M$90="x",1)-4,
$B$3&lt;11,
SUM($C$3,$I$3)+IF(H257="x",1)+$I$16-$B$10+$M$94+IF($C$77="x",2)-IF($C$78="x",4)-IF($I$78="x",1)-IF($I$77="x",2)-IF($I$90="x",2)+IF($I$83="x",2)-IF($C$76="x",4)-$C$112+IF(H253="x",1)+I253+$M$77+IF(H255="x",1)+IF(J255="x",1)+IF($M$76="x",2)+J253+IF($M$85="x",1)+IF($M$113="x",1)+IF($M$120="x",2)+IF($M$119="x",2)+IF($M$105="x",1)+IF($M$110="x",1)+IF($M$111="x",2)+IF($M$112="x",4)+IF($M$108="x",1)-IF($M$109="x",1)-IF($M$99="x",1)+IF($M$90="x",1)-4
&amp;"/"&amp;SUM($C$3,$I$3)+IF(H257="x",1)+$I$16-$B$10+$M$94+IF($C$77="x",2)-IF($C$78="x",4)-IF($I$78="x",1)-IF($I$77="x",2)-IF($I$90="x",2)+IF($I$83="x",2)-IF($C$76="x",4)-$C$112+IF(H253="x",1)+I253+$M$77+IF(H255="x",1)+IF(J255="x",1)+IF($M$76="x",2)+J253+IF($M$85="x",1)+IF($M$113="x",1)+IF($M$120="x",2)+IF($M$119="x",2)+IF($M$105="x",1)+IF($M$110="x",1)+IF($M$111="x",2)+IF($M$112="x",4)+IF($M$108="x",1)-IF($M$109="x",1)-IF($M$99="x",1)+IF($M$90="x",1)-5-4,
$B$3&lt;16,
SUM($C$3,$I$3)+IF(H257="x",1)+$I$16-$B$10+$M$94+IF($C$77="x",2)-IF($C$78="x",4)-IF($I$78="x",1)-IF($I$77="x",2)-IF($I$90="x",2)+IF($I$83="x",2)-IF($C$76="x",4)-$C$112+IF(H253="x",1)+I253+$M$77+IF(H255="x",1)+IF(J255="x",1)+IF($M$76="x",2)+J253+IF($M$85="x",1)+IF($M$113="x",1)+IF($M$120="x",2)+IF($M$119="x",2)+IF($M$105="x",1)+IF($M$110="x",1)+IF($M$111="x",2)+IF($M$112="x",4)+IF($M$108="x",1)-IF($M$109="x",1)-IF($M$99="x",1)+IF($M$90="x",1)-4
&amp;"/"&amp;SUM($C$3,$I$3)+IF(H257="x",1)+$I$16-$B$10+$M$94+IF($C$77="x",2)-IF($C$78="x",4)-IF($I$78="x",1)-IF($I$77="x",2)-IF($I$90="x",2)+IF($I$83="x",2)-IF($C$76="x",4)-$C$112+IF(H253="x",1)+I253+$M$77+IF(H255="x",1)+IF(J255="x",1)+IF($M$76="x",2)+J253+IF($M$85="x",1)+IF($M$113="x",1)+IF($M$120="x",2)+IF($M$119="x",2)+IF($M$105="x",1)+IF($M$110="x",1)+IF($M$111="x",2)+IF($M$112="x",4)+IF($M$108="x",1)-IF($M$109="x",1)-IF($M$99="x",1)+IF($M$90="x",1)-5-4
&amp;"/"&amp;SUM($C$3,$I$3)+IF(H257="x",1)+$I$16-$B$10+$M$94+IF($C$77="x",2)-IF($C$78="x",4)-IF($I$78="x",1)-IF($I$77="x",2)-IF($I$90="x",2)+IF($I$83="x",2)-IF($C$76="x",4)-$C$112+IF(H253="x",1)+I253+$M$77+IF(H255="x",1)+IF(J255="x",1)+IF($M$76="x",2)+J253+IF($M$85="x",1)+IF($M$113="x",1)+IF($M$120="x",2)+IF($M$119="x",2)+IF($M$105="x",1)+IF($M$110="x",1)+IF($M$111="x",2)+IF($M$112="x",4)+IF($M$108="x",1)-IF($M$109="x",1)-IF($M$99="x",1)+IF($M$90="x",1)-10-4,
$B$3&gt;=16,
SUM($C$3,$I$3)+IF(H257="x",1)+$I$16-$B$10+$M$94+IF($C$77="x",2)-IF($C$78="x",4)-IF($I$78="x",1)-IF($I$77="x",2)-IF($I$90="x",2)+IF($I$83="x",2)-IF($C$76="x",4)-$C$112+IF(H253="x",1)+I253+$M$77+IF(H255="x",1)+IF(J255="x",1)+IF($M$76="x",2)+J253+IF($M$85="x",1)+IF($M$113="x",1)+IF($M$120="x",2)+IF($M$119="x",2)+IF($M$105="x",1)+IF($M$110="x",1)+IF($M$111="x",2)+IF($M$112="x",4)+IF($M$108="x",1)-IF($M$109="x",1)-IF($M$99="x",1)+IF($M$90="x",1)-4
&amp;"/"&amp;SUM($C$3,$I$3)+IF(H257="x",1)+$I$16-$B$10+$M$94+IF($C$77="x",2)-IF($C$78="x",4)-IF($I$78="x",1)-IF($I$77="x",2)-IF($I$90="x",2)+IF($I$83="x",2)-IF($C$76="x",4)-$C$112+IF(H253="x",1)+I253+$M$77+IF(H255="x",1)+IF(J255="x",1)+IF($M$76="x",2)+J253+IF($M$85="x",1)+IF($M$113="x",1)+IF($M$120="x",2)+IF($M$119="x",2)+IF($M$105="x",1)+IF($M$110="x",1)+IF($M$111="x",2)+IF($M$112="x",4)+IF($M$108="x",1)-IF($M$109="x",1)-IF($M$99="x",1)+IF($M$90="x",1)-5-4
&amp;"/"&amp;SUM($C$3,$I$3)+IF(H257="x",1)+$I$16-$B$10+$M$94+IF($C$77="x",2)-IF($C$78="x",4)-IF($I$78="x",1)-IF($I$77="x",2)-IF($I$90="x",2)+IF($I$83="x",2)-IF($C$76="x",4)-$C$112+IF(H253="x",1)+I253+$M$77+IF(H255="x",1)+IF(J255="x",1)+IF($M$76="x",2)+J253+IF($M$85="x",1)+IF($M$113="x",1)+IF($M$120="x",2)+IF($M$119="x",2)+IF($M$105="x",1)+IF($M$110="x",1)+IF($M$111="x",2)+IF($M$112="x",4)+IF($M$108="x",1)-IF($M$109="x",1)-IF($M$99="x",1)+IF($M$90="x",1)-10-4
&amp;"/"&amp;SUM($C$3,$I$3)+IF(H257="x",1)+$I$16-$B$10+$M$94+IF($C$77="x",2)-IF($C$78="x",4)-IF($I$78="x",1)-IF($I$77="x",2)-IF($I$90="x",2)+IF($I$83="x",2)-IF($C$76="x",4)-$C$112+IF(H253="x",1)+I253+$M$77+IF(H255="x",1)+IF(J255="x",1)+IF($M$76="x",2)+J253+IF($M$85="x",1)+IF($M$113="x",1)+IF($M$120="x",2)+IF($M$119="x",2)+IF($M$105="x",1)+IF($M$110="x",1)+IF($M$111="x",2)+IF($M$112="x",4)+IF($M$108="x",1)-IF($M$109="x",1)-IF($M$99="x",1)+IF($M$90="x",1)-15-4)</f>
        <v>-4</v>
      </c>
      <c r="C261" s="135"/>
      <c r="D261" s="136"/>
      <c r="E261" s="135"/>
      <c r="F261" s="135"/>
      <c r="G261" s="82" t="str">
        <f>(IF($I$89="x","50 %","")&amp;(IF($C$81="x","20 %",""))&amp;(IF($C$82="x","50 %","")))</f>
        <v/>
      </c>
      <c r="H261" s="131"/>
      <c r="I261" s="131"/>
      <c r="J261" s="131"/>
      <c r="K261" s="131"/>
      <c r="AB261" s="50"/>
      <c r="AC261" s="51"/>
      <c r="AD261" s="49"/>
      <c r="AE261" s="51"/>
      <c r="AF261" s="49"/>
      <c r="AG261" s="49"/>
      <c r="AH261" s="49"/>
      <c r="AI261" s="40"/>
      <c r="AJ261" s="40"/>
      <c r="AK261" s="40"/>
      <c r="AL261" s="40"/>
    </row>
    <row r="262" spans="1:38" x14ac:dyDescent="0.2">
      <c r="A262" s="127">
        <f>A259*4</f>
        <v>40</v>
      </c>
      <c r="B262" s="123">
        <f>_xlfn.IFS($I$85="x",
"PAINISSA",
$C$106="",
SUM($C$3,$I$3)+IF(H257="x",1)+$I$16-$B$10+$M$94+IF($C$77="x",2)-IF($C$78="x",4)-IF($I$78="x",1)-IF($I$77="x",2)-IF($I$90="x",2)+IF($I$83="x",2)-IF($C$76="x",4)-$C$112+IF(H253="x",1)+I253+$M$77+IF(H255="x",1)+IF(J255="x",1)+IF($M$76="x",2)+J253+IF($M$85="x",1)+IF($M$113="x",1)+IF($M$120="x",2)+IF($M$119="x",2)+IF($M$105="x",1)+IF($M$110="x",1)+IF($M$111="x",2)+IF($M$112="x",4)+IF($M$108="x",1)-IF($M$109="x",1)-IF($M$99="x",1)+IF($M$90="x",1)-6,
$B$3&lt;6,
SUM($C$3,$I$3)+IF(H257="x",1)+$I$16-$B$10+$M$94+IF($C$77="x",2)-IF($C$78="x",4)-IF($I$78="x",1)-IF($I$77="x",2)-IF($I$90="x",2)+IF($I$83="x",2)-IF($C$76="x",4)-$C$112+IF(H253="x",1)+I253+$M$77+IF(H255="x",1)+IF(J255="x",1)+IF($M$76="x",2)+J253+IF($M$85="x",1)+IF($M$113="x",1)+IF($M$120="x",2)+IF($M$119="x",2)+IF($M$105="x",1)+IF($M$110="x",1)+IF($M$111="x",2)+IF($M$112="x",4)+IF($M$108="x",1)-IF($M$109="x",1)-IF($M$99="x",1)+IF($M$90="x",1)-6,
$B$3&lt;11,
SUM($C$3,$I$3)+IF(H257="x",1)+$I$16-$B$10+$M$94+IF($C$77="x",2)-IF($C$78="x",4)-IF($I$78="x",1)-IF($I$77="x",2)-IF($I$90="x",2)+IF($I$83="x",2)-IF($C$76="x",4)-$C$112+IF(H253="x",1)+I253+$M$77+IF(H255="x",1)+IF(J255="x",1)+IF($M$76="x",2)+J253+IF($M$85="x",1)+IF($M$113="x",1)+IF($M$120="x",2)+IF($M$119="x",2)+IF($M$105="x",1)+IF($M$110="x",1)+IF($M$111="x",2)+IF($M$112="x",4)+IF($M$108="x",1)-IF($M$109="x",1)-IF($M$99="x",1)+IF($M$90="x",1)-6
&amp;"/"&amp;SUM($C$3,$I$3)+IF(H257="x",1)+$I$16-$B$10+$M$94+IF($C$77="x",2)-IF($C$78="x",4)-IF($I$78="x",1)-IF($I$77="x",2)-IF($I$90="x",2)+IF($I$83="x",2)-IF($C$76="x",4)-$C$112+IF(H253="x",1)+I253+$M$77+IF(H255="x",1)+IF(J255="x",1)+IF($M$76="x",2)+J253+IF($M$85="x",1)+IF($M$113="x",1)+IF($M$120="x",2)+IF($M$119="x",2)+IF($M$105="x",1)+IF($M$110="x",1)+IF($M$111="x",2)+IF($M$112="x",4)+IF($M$108="x",1)-IF($M$109="x",1)-IF($M$99="x",1)+IF($M$90="x",1)-5-6,
$B$3&lt;16,
SUM($C$3,$I$3)+IF(H257="x",1)+$I$16-$B$10+$M$94+IF($C$77="x",2)-IF($C$78="x",4)-IF($I$78="x",1)-IF($I$77="x",2)-IF($I$90="x",2)+IF($I$83="x",2)-IF($C$76="x",4)-$C$112+IF(H253="x",1)+I253+$M$77+IF(H255="x",1)+IF(J255="x",1)+IF($M$76="x",2)+J253+IF($M$85="x",1)+IF($M$113="x",1)+IF($M$120="x",2)+IF($M$119="x",2)+IF($M$105="x",1)+IF($M$110="x",1)+IF($M$111="x",2)+IF($M$112="x",4)+IF($M$108="x",1)-IF($M$109="x",1)-IF($M$99="x",1)+IF($M$90="x",1)-6
&amp;"/"&amp;SUM($C$3,$I$3)+IF(H257="x",1)+$I$16-$B$10+$M$94+IF($C$77="x",2)-IF($C$78="x",4)-IF($I$78="x",1)-IF($I$77="x",2)-IF($I$90="x",2)+IF($I$83="x",2)-IF($C$76="x",4)-$C$112+IF(H253="x",1)+I253+$M$77+IF(H255="x",1)+IF(J255="x",1)+IF($M$76="x",2)+J253+IF($M$85="x",1)+IF($M$113="x",1)+IF($M$120="x",2)+IF($M$119="x",2)+IF($M$105="x",1)+IF($M$110="x",1)+IF($M$111="x",2)+IF($M$112="x",4)+IF($M$108="x",1)-IF($M$109="x",1)-IF($M$99="x",1)+IF($M$90="x",1)-5-6
&amp;"/"&amp;SUM($C$3,$I$3)+IF(H257="x",1)+$I$16-$B$10+$M$94+IF($C$77="x",2)-IF($C$78="x",4)-IF($I$78="x",1)-IF($I$77="x",2)-IF($I$90="x",2)+IF($I$83="x",2)-IF($C$76="x",4)-$C$112+IF(H253="x",1)+I253+$M$77+IF(H255="x",1)+IF(J255="x",1)+IF($M$76="x",2)+J253+IF($M$85="x",1)+IF($M$113="x",1)+IF($M$120="x",2)+IF($M$119="x",2)+IF($M$105="x",1)+IF($M$110="x",1)+IF($M$111="x",2)+IF($M$112="x",4)+IF($M$108="x",1)-IF($M$109="x",1)-IF($M$99="x",1)+IF($M$90="x",1)-10-6,
$B$3&gt;=16,
SUM($C$3,$I$3)+IF(H257="x",1)+$I$16-$B$10+$M$94+IF($C$77="x",2)-IF($C$78="x",4)-IF($I$78="x",1)-IF($I$77="x",2)-IF($I$90="x",2)+IF($I$83="x",2)-IF($C$76="x",4)-$C$112+IF(H253="x",1)+I253+$M$77+IF(H255="x",1)+IF(J255="x",1)+IF($M$76="x",2)+J253+IF($M$85="x",1)+IF($M$113="x",1)+IF($M$120="x",2)+IF($M$119="x",2)+IF($M$105="x",1)+IF($M$110="x",1)+IF($M$111="x",2)+IF($M$112="x",4)+IF($M$108="x",1)-IF($M$109="x",1)-IF($M$99="x",1)+IF($M$90="x",1)-6
&amp;"/"&amp;SUM($C$3,$I$3)+IF(H257="x",1)+$I$16-$B$10+$M$94+IF($C$77="x",2)-IF($C$78="x",4)-IF($I$78="x",1)-IF($I$77="x",2)-IF($I$90="x",2)+IF($I$83="x",2)-IF($C$76="x",4)-$C$112+IF(H253="x",1)+I253+$M$77+IF(H255="x",1)+IF(J255="x",1)+IF($M$76="x",2)+J253+IF($M$85="x",1)+IF($M$113="x",1)+IF($M$120="x",2)+IF($M$119="x",2)+IF($M$105="x",1)+IF($M$110="x",1)+IF($M$111="x",2)+IF($M$112="x",4)+IF($M$108="x",1)-IF($M$109="x",1)-IF($M$99="x",1)+IF($M$90="x",1)-5-6
&amp;"/"&amp;SUM($C$3,$I$3)+IF(H257="x",1)+$I$16-$B$10+$M$94+IF($C$77="x",2)-IF($C$78="x",4)-IF($I$78="x",1)-IF($I$77="x",2)-IF($I$90="x",2)+IF($I$83="x",2)-IF($C$76="x",4)-$C$112+IF(H253="x",1)+I253+$M$77+IF(H255="x",1)+IF(J255="x",1)+IF($M$76="x",2)+J253+IF($M$85="x",1)+IF($M$113="x",1)+IF($M$120="x",2)+IF($M$119="x",2)+IF($M$105="x",1)+IF($M$110="x",1)+IF($M$111="x",2)+IF($M$112="x",4)+IF($M$108="x",1)-IF($M$109="x",1)-IF($M$99="x",1)+IF($M$90="x",1)-10-6
&amp;"/"&amp;SUM($C$3,$I$3)+IF(H257="x",1)+$I$16-$B$10+$M$94+IF($C$77="x",2)-IF($C$78="x",4)-IF($I$78="x",1)-IF($I$77="x",2)-IF($I$90="x",2)+IF($I$83="x",2)-IF($C$76="x",4)-$C$112+IF(H253="x",1)+I253+$M$77+IF(H255="x",1)+IF(J255="x",1)+IF($M$76="x",2)+J253+IF($M$85="x",1)+IF($M$113="x",1)+IF($M$120="x",2)+IF($M$119="x",2)+IF($M$105="x",1)+IF($M$110="x",1)+IF($M$111="x",2)+IF($M$112="x",4)+IF($M$108="x",1)-IF($M$109="x",1)-IF($M$99="x",1)+IF($M$90="x",1)-15-6)</f>
        <v>-6</v>
      </c>
      <c r="C262" s="135"/>
      <c r="D262" s="136"/>
      <c r="E262" s="135"/>
      <c r="F262" s="135"/>
      <c r="G262" s="123" t="str">
        <f>(IF($I$89="x","50 %","")&amp;(IF($C$81="x","20 %",""))&amp;(IF($C$82="x","50 %","")))</f>
        <v/>
      </c>
      <c r="H262" s="131"/>
      <c r="I262" s="131"/>
      <c r="J262" s="131"/>
      <c r="K262" s="131"/>
      <c r="AB262" s="50"/>
      <c r="AC262" s="49"/>
      <c r="AD262" s="49"/>
      <c r="AE262" s="51"/>
      <c r="AF262" s="49"/>
      <c r="AG262" s="49"/>
      <c r="AH262" s="49"/>
      <c r="AI262" s="48"/>
      <c r="AJ262" s="57"/>
      <c r="AK262" s="57"/>
      <c r="AL262" s="57"/>
    </row>
    <row r="263" spans="1:38" x14ac:dyDescent="0.2">
      <c r="A263" s="126">
        <f>A259*5</f>
        <v>50</v>
      </c>
      <c r="B263" s="121">
        <f>_xlfn.IFS($I$85="x",
"PAINISSA",
$C$106="",
SUM($C$3,$I$3)+IF(H257="x",1)+$I$16-$B$10+$M$94+IF($C$77="x",2)-IF($C$78="x",4)-IF($I$78="x",1)-IF($I$77="x",2)-IF($I$90="x",2)+IF($I$83="x",2)-IF($C$76="x",4)-$C$112+IF(H253="x",1)+I253+$M$77+IF(H255="x",1)+IF(J255="x",1)+IF($M$76="x",2)+J253+IF($M$85="x",1)+IF($M$113="x",1)+IF($M$120="x",2)+IF($M$119="x",2)+IF($M$105="x",1)+IF($M$110="x",1)+IF($M$111="x",2)+IF($M$112="x",4)+IF($M$108="x",1)-IF($M$109="x",1)-IF($M$99="x",1)+IF($M$90="x",1)-8,
$B$3&lt;6,
SUM($C$3,$I$3)+IF(H257="x",1)+$I$16-$B$10+$M$94+IF($C$77="x",2)-IF($C$78="x",4)-IF($I$78="x",1)-IF($I$77="x",2)-IF($I$90="x",2)+IF($I$83="x",2)-IF($C$76="x",4)-$C$112+IF(H253="x",1)+I253+$M$77+IF(H255="x",1)+IF(J255="x",1)+IF($M$76="x",2)+J253+IF($M$85="x",1)+IF($M$113="x",1)+IF($M$120="x",2)+IF($M$119="x",2)+IF($M$105="x",1)+IF($M$110="x",1)+IF($M$111="x",2)+IF($M$112="x",4)+IF($M$108="x",1)-IF($M$109="x",1)-IF($M$99="x",1)+IF($M$90="x",1)-8,
$B$3&lt;11,
SUM($C$3,$I$3)+IF(H257="x",1)+$I$16-$B$10+$M$94+IF($C$77="x",2)-IF($C$78="x",4)-IF($I$78="x",1)-IF($I$77="x",2)-IF($I$90="x",2)+IF($I$83="x",2)-IF($C$76="x",4)-$C$112+IF(H253="x",1)+I253+$M$77+IF(H255="x",1)+IF(J255="x",1)+IF($M$76="x",2)+J253+IF($M$85="x",1)+IF($M$113="x",1)+IF($M$120="x",2)+IF($M$119="x",2)+IF($M$105="x",1)+IF($M$110="x",1)+IF($M$111="x",2)+IF($M$112="x",4)+IF($M$108="x",1)-IF($M$109="x",1)-IF($M$99="x",1)+IF($M$90="x",1)-8
&amp;"/"&amp;SUM($C$3,$I$3)+IF(H257="x",1)+$I$16-$B$10+$M$94+IF($C$77="x",2)-IF($C$78="x",4)-IF($I$78="x",1)-IF($I$77="x",2)-IF($I$90="x",2)+IF($I$83="x",2)-IF($C$76="x",4)-$C$112+IF(H253="x",1)+I253+$M$77+IF(H255="x",1)+IF(J255="x",1)+IF($M$76="x",2)+J253+IF($M$85="x",1)+IF($M$113="x",1)+IF($M$120="x",2)+IF($M$119="x",2)+IF($M$105="x",1)+IF($M$110="x",1)+IF($M$111="x",2)+IF($M$112="x",4)+IF($M$108="x",1)-IF($M$109="x",1)-IF($M$99="x",1)+IF($M$90="x",1)-5-8,
$B$3&lt;16,
SUM($C$3,$I$3)+IF(H257="x",1)+$I$16-$B$10+$M$94+IF($C$77="x",2)-IF($C$78="x",4)-IF($I$78="x",1)-IF($I$77="x",2)-IF($I$90="x",2)+IF($I$83="x",2)-IF($C$76="x",4)-$C$112+IF(H253="x",1)+I253+$M$77+IF(H255="x",1)+IF(J255="x",1)+IF($M$76="x",2)+J253+IF($M$85="x",1)+IF($M$113="x",1)+IF($M$120="x",2)+IF($M$119="x",2)+IF($M$105="x",1)+IF($M$110="x",1)+IF($M$111="x",2)+IF($M$112="x",4)+IF($M$108="x",1)-IF($M$109="x",1)-IF($M$99="x",1)+IF($M$90="x",1)-8
&amp;"/"&amp;SUM($C$3,$I$3)+IF(H257="x",1)+$I$16-$B$10+$M$94+IF($C$77="x",2)-IF($C$78="x",4)-IF($I$78="x",1)-IF($I$77="x",2)-IF($I$90="x",2)+IF($I$83="x",2)-IF($C$76="x",4)-$C$112+IF(H253="x",1)+I253+$M$77+IF(H255="x",1)+IF(J255="x",1)+IF($M$76="x",2)+J253+IF($M$85="x",1)+IF($M$113="x",1)+IF($M$120="x",2)+IF($M$119="x",2)+IF($M$105="x",1)+IF($M$110="x",1)+IF($M$111="x",2)+IF($M$112="x",4)+IF($M$108="x",1)-IF($M$109="x",1)-IF($M$99="x",1)+IF($M$90="x",1)-5-8
&amp;"/"&amp;SUM($C$3,$I$3)+IF(H257="x",1)+$I$16-$B$10+$M$94+IF($C$77="x",2)-IF($C$78="x",4)-IF($I$78="x",1)-IF($I$77="x",2)-IF($I$90="x",2)+IF($I$83="x",2)-IF($C$76="x",4)-$C$112+IF(H253="x",1)+I253+$M$77+IF(H255="x",1)+IF(J255="x",1)+IF($M$76="x",2)+J253+IF($M$85="x",1)+IF($M$113="x",1)+IF($M$120="x",2)+IF($M$119="x",2)+IF($M$105="x",1)+IF($M$110="x",1)+IF($M$111="x",2)+IF($M$112="x",4)+IF($M$108="x",1)-IF($M$109="x",1)-IF($M$99="x",1)+IF($M$90="x",1)-10-8,
$B$3&gt;=16,
SUM($C$3,$I$3)+IF(H257="x",1)+$I$16-$B$10+$M$94+IF($C$77="x",2)-IF($C$78="x",4)-IF($I$78="x",1)-IF($I$77="x",2)-IF($I$90="x",2)+IF($I$83="x",2)-IF($C$76="x",4)-$C$112+IF(H253="x",1)+I253+$M$77+IF(H255="x",1)+IF(J255="x",1)+IF($M$76="x",2)+J253+IF($M$85="x",1)+IF($M$113="x",1)+IF($M$120="x",2)+IF($M$119="x",2)+IF($M$105="x",1)+IF($M$110="x",1)+IF($M$111="x",2)+IF($M$112="x",4)+IF($M$108="x",1)-IF($M$109="x",1)-IF($M$99="x",1)+IF($M$90="x",1)-8
&amp;"/"&amp;SUM($C$3,$I$3)+IF(H257="x",1)+$I$16-$B$10+$M$94+IF($C$77="x",2)-IF($C$78="x",4)-IF($I$78="x",1)-IF($I$77="x",2)-IF($I$90="x",2)+IF($I$83="x",2)-IF($C$76="x",4)-$C$112+IF(H253="x",1)+I253+$M$77+IF(H255="x",1)+IF(J255="x",1)+IF($M$76="x",2)+J253+IF($M$85="x",1)+IF($M$113="x",1)+IF($M$120="x",2)+IF($M$119="x",2)+IF($M$105="x",1)+IF($M$110="x",1)+IF($M$111="x",2)+IF($M$112="x",4)+IF($M$108="x",1)-IF($M$109="x",1)-IF($M$99="x",1)+IF($M$90="x",1)-5-8
&amp;"/"&amp;SUM($C$3,$I$3)+IF(H257="x",1)+$I$16-$B$10+$M$94+IF($C$77="x",2)-IF($C$78="x",4)-IF($I$78="x",1)-IF($I$77="x",2)-IF($I$90="x",2)+IF($I$83="x",2)-IF($C$76="x",4)-$C$112+IF(H253="x",1)+I253+$M$77+IF(H255="x",1)+IF(J255="x",1)+IF($M$76="x",2)+J253+IF($M$85="x",1)+IF($M$113="x",1)+IF($M$120="x",2)+IF($M$119="x",2)+IF($M$105="x",1)+IF($M$110="x",1)+IF($M$111="x",2)+IF($M$112="x",4)+IF($M$108="x",1)-IF($M$109="x",1)-IF($M$99="x",1)+IF($M$90="x",1)-10-8
&amp;"/"&amp;SUM($C$3,$I$3)+IF(H257="x",1)+$I$16-$B$10+$M$94+IF($C$77="x",2)-IF($C$78="x",4)-IF($I$78="x",1)-IF($I$77="x",2)-IF($I$90="x",2)+IF($I$83="x",2)-IF($C$76="x",4)-$C$112+IF(H253="x",1)+I253+$M$77+IF(H255="x",1)+IF(J255="x",1)+IF($M$76="x",2)+J253+IF($M$85="x",1)+IF($M$113="x",1)+IF($M$120="x",2)+IF($M$119="x",2)+IF($M$105="x",1)+IF($M$110="x",1)+IF($M$111="x",2)+IF($M$112="x",4)+IF($M$108="x",1)-IF($M$109="x",1)-IF($M$99="x",1)+IF($M$90="x",1)-15-8)</f>
        <v>-8</v>
      </c>
      <c r="C263" s="135"/>
      <c r="D263" s="136"/>
      <c r="E263" s="135"/>
      <c r="F263" s="135"/>
      <c r="G263" s="82" t="str">
        <f>(IF($I$89="x","50 %","")&amp;(IF($C$81="x","20 %",""))&amp;(IF($C$82="x","50 %","")))</f>
        <v/>
      </c>
      <c r="H263" s="131"/>
      <c r="I263" s="131"/>
      <c r="J263" s="131"/>
      <c r="K263" s="131"/>
      <c r="AB263" s="52"/>
      <c r="AC263" s="53"/>
      <c r="AD263" s="54"/>
      <c r="AE263" s="53"/>
      <c r="AF263" s="49"/>
      <c r="AG263" s="54"/>
      <c r="AH263" s="54"/>
      <c r="AI263" s="40"/>
      <c r="AJ263" s="60"/>
      <c r="AK263" s="57"/>
      <c r="AL263" s="61"/>
    </row>
    <row r="264" spans="1:38" x14ac:dyDescent="0.2">
      <c r="A264" s="25"/>
      <c r="B264" s="25"/>
      <c r="C264" s="25"/>
      <c r="D264" s="25"/>
      <c r="E264" s="25"/>
      <c r="F264" s="25"/>
      <c r="G264" s="25"/>
      <c r="H264" s="25"/>
      <c r="I264" s="25"/>
      <c r="J264" s="25"/>
      <c r="K264" s="25"/>
    </row>
    <row r="265" spans="1:38" x14ac:dyDescent="0.2">
      <c r="A265" s="25"/>
      <c r="B265" s="25"/>
      <c r="C265" s="25"/>
      <c r="D265" s="25"/>
      <c r="E265" s="25"/>
      <c r="F265" s="25"/>
      <c r="G265" s="25"/>
      <c r="H265" s="25"/>
      <c r="I265" s="25"/>
      <c r="J265" s="25"/>
      <c r="K265" s="25"/>
    </row>
    <row r="266" spans="1:38" x14ac:dyDescent="0.2">
      <c r="A266" s="134" t="s">
        <v>301</v>
      </c>
      <c r="B266" s="130" t="s">
        <v>1</v>
      </c>
      <c r="C266" s="130" t="s">
        <v>2</v>
      </c>
      <c r="D266" s="130" t="s">
        <v>3</v>
      </c>
      <c r="E266" s="130" t="s">
        <v>229</v>
      </c>
      <c r="F266" s="130" t="s">
        <v>3</v>
      </c>
      <c r="G266" s="130" t="s">
        <v>45</v>
      </c>
      <c r="H266" s="14" t="s">
        <v>179</v>
      </c>
      <c r="I266" s="130" t="s">
        <v>242</v>
      </c>
      <c r="J266" s="130" t="s">
        <v>224</v>
      </c>
      <c r="K266" s="130" t="s">
        <v>225</v>
      </c>
      <c r="AB266" s="115"/>
      <c r="AC266" s="116"/>
      <c r="AD266" s="116"/>
      <c r="AE266" s="116"/>
      <c r="AF266" s="116"/>
      <c r="AG266" s="116"/>
      <c r="AH266" s="116"/>
      <c r="AI266" s="48"/>
      <c r="AJ266" s="48"/>
      <c r="AK266" s="48"/>
      <c r="AL266" s="48"/>
    </row>
    <row r="267" spans="1:38" x14ac:dyDescent="0.2">
      <c r="A267" s="15" t="s">
        <v>219</v>
      </c>
      <c r="B267" s="12">
        <f>IF($I$85="x","PAINISSA",IF($C$3&lt;=5,SUM($C$3,$I$2)-$C$120+IF($C$75="x",2)+$I$16-$B$10+$M$94+IF($C$77="x",2)-IF($C$78="x",4)-IF($I$78="x",1)-IF($C$79="x",4)+IF($C$80="x",1)-IF($I$77="x",2)-IF($I$90="x",2)+IF($I$83="x",2)-IF($C$75="x",4)-$C$112+IF(H267="x",1)+I267+$M$77+IF(H269="x",1)+IF(J269="x",1)+IF($M$76="x",2)+J267+IF($M$85="x",1)+IF($M$113="x",1)+IF($M$120="x",2)+IF($M$119="x",2)+IF($M$105="x",1)+IF($M$110="x",1)+IF($M$111="x",2)+IF($M$112="x",4)+IF($M$108="x",1)-IF($M$109="x",1)-IF($M$99="x",1)+IF($M$90="x",1),
IF(AND($C$3&gt;5,$C$3&lt;11),SUM($C$3,$I$2)-$C$120+IF($C$75="x",2)+$I$16-$B$10+$M$94+IF($C$77="x",2)-IF($C$78="x",4)-IF($I$78="x",1)-IF($C$79="x",4)+IF($C$80="x",1)-IF($I$77="x",2)-IF($I$90="x",2)+IF($I$83="x",2)-IF($C$83="x",4)-$C$112+IF(H267="x",1)+I267+$M$77+IF(H269="x",1)+IF(J269="x",1)+IF($M$76="x",2)+J267+IF($M$85="x",1)+IF($M$113="x",1)+IF($M$120="x",2)+IF($M$119="x",2)+IF($M$105="x",1)+IF($M$110="x",1)+IF($M$111="x",2)+IF($M$112="x",4)+IF($M$108="x",1)-IF($M$109="x",1)-IF($M$99="x",1)+IF($M$90="x",1)
&amp;"/"&amp;SUM($C$3,$I$2)-$C$120+IF($C$75="x",2)+$I$16-$B$10+$M$94+IF($C$77="x",2)-IF($C$78="x",4)-IF($I$78="x",1)-IF($C$79="x",4)+IF($C$80="x",1)-IF($I$77="x",2)-IF($I$90="x",2)+IF($I$83="x",2)-IF($C$83="x",4)-$C$112-5+IF(H267="x",1)+I267+$M$77+IF(H269="x",1)+IF(J269="x",1)+IF($M$76="x",2)+J267+IF($M$85="x",1)+IF($M$113="x",1)+IF($M$120="x",2)+IF($M$119="x",2)+IF($M$105="x",1)+IF($M$110="x",1)+IF($M$111="x",2)+IF($M$112="x",4)+IF($M$108="x",1)-IF($M$109="x",1)-IF($M$99="x",1)+IF($M$90="x",1),
IF(AND($C$3&gt;10,$C$3&lt;16),SUM($C$3,$I$2)-$C$120+IF($C$75="x",2)+$I$16-$B$10+$M$94+IF($C$77="x",2)-IF($C$78="x",4)-IF($I$78="x",1)-IF($C$79="x",4)+IF($C$80="x",1)-IF($I$77="x",2)-IF($I$90="x",2)+IF($I$83="x",2)-IF($C$83="x",4)-$C$112+IF(H267="x",1)+I267+$M$77+IF(H269="x",1)+IF(J269="x",1)+IF($M$76="x",2)+J267+IF($M$85="x",1)+IF($M$113="x",1)+IF($M$120="x",2)+IF($M$119="x",2)+IF($M$105="x",1)+IF($M$110="x",1)+IF($M$111="x",2)+IF($M$112="x",4)+IF($M$108="x",1)-IF($M$109="x",1)+IF($M$99="x",20)-IF($M$99="x",1)+IF($M$90="x",1)
&amp;"/"&amp;SUM($C$3,$I$2)-$C$120+IF($C$75="x",2)+$I$16-$B$10+$M$94+IF($C$77="x",2)-IF($C$78="x",4)-IF($I$78="x",1)-IF($C$79="x",4)+IF($C$80="x",1)-IF($I$77="x",2)-IF($I$90="x",2)+IF($I$83="x",2)-IF($C$83="x",4)-$C$112-5+IF(H653="x",1)+IF(H267="x",1)+I267+$M$77+IF(H269="x",1)+IF(J269="x",1)+IF($M$76="x",2)+J267+IF($M$85="x",1)+IF($M$113="x",1)+IF($M$120="x",2)+IF($M$119="x",2)+IF($M$105="x",1)+IF($M$110="x",1)+IF($M$111="x",2)+IF($M$112="x",4)+IF($M$108="x",1)-IF($M$109="x",1)-IF($M$99="x",1)+IF($M$90="x",1)
&amp;"/"&amp;SUM($C$3,$I$2)-$C$120+IF($C$75="x",2)+$I$16-$B$10+$M$94+IF($C$77="x",2)-IF($C$78="x",4)-IF($I$78="x",1)-IF($C$79="x",4)+IF($C$80="x",1)-IF($I$77="x",2)-IF($I$90="x",2)+IF($I$83="x",2)-IF($C$83="x",4)-$C$112-10+IF(H653="x",1)+IF(H267="x",1)+I267+$M$77+IF(H269="x",1)+IF(J269="x",1)+IF($M$76="x",2)+J267+IF($M$85="x",1)+IF($M$113="x",1)+IF($M$120="x",2)+IF($M$119="x",2)+IF($M$105="x",1)+IF($M$110="x",1)+IF($M$111="x",2)+IF($M$112="x",4)+IF($M$108="x",1)-IF($M$109="x",1)-IF($M$99="x",1)+IF($M$90="x",1),
IF(AND($C$3&gt;15),SUM($C$3,$I$2)-$C$120+IF($C$75="x",2)+$I$16-$B$10+$M$94+IF($C$77="x",2)-IF($C$78="x",4)-IF($I$78="x",1)-IF($C$79="x",4)+IF($C$80="x",1)-IF($I$77="x",2)-IF($I$90="x",2)+IF($I$83="x",2)-IF($C$83="x",4)-$C$112+IF(H267="x",1)+I267+$M$77+IF(H269="x",1)+IF(J269="x",1)+IF($M$76="x",2)+J267+IF($M$85="x",1)+IF($M$113="x",1)+IF($M$120="x",2)+IF($M$119="x",2)+IF($M$105="x",1)+IF($M$110="x",1)+IF($M$111="x",2)+IF($M$112="x",4)+IF($M$108="x",1)-IF($M$109="x",1)-IF($M$99="x",1)+IF($M$90="x",1)
&amp;"/"&amp;SUM($C$3,$I$2)-$C$120+IF($C$75="x",2)+$I$16-$B$10+$M$94+IF($C$77="x",2)-IF($C$78="x",4)-IF($I$78="x",1)-IF($C$79="x",4)+IF($C$80="x",1)-IF($I$77="x",2)-IF($I$90="x",2)+IF($I$83="x",2)-IF($C$83="x",4)-$C$112-5+IF(H653="x",1)+IF(H267="x",1)+I267+$M$77+IF(H269="x",1)+IF(J269="x",1)+IF($M$76="x",2)+J267+IF($M$85="x",1)+IF($M$113="x",1)+IF($M$120="x",2)+IF($M$119="x",2)+IF($M$105="x",1)+IF($M$110="x",1)+IF($M$111="x",2)+IF($M$112="x",4)+IF($M$108="x",1)-IF($M$109="x",1)-IF($M$99="x",1)+IF($M$90="x",1)
&amp;"/"&amp;SUM($C$3,$I$2)-$C$120+IF($C$75="x",2)+$I$16-$B$10+$M$94+IF($C$77="x",2)-IF($C$78="x",4)-IF($I$78="x",1)-IF($C$79="x",4)+IF($C$80="x",1)-IF($I$77="x",2)-IF($I$90="x",2)+IF($I$83="x",2)-IF($C$83="x",4)-$C$112-10+IF(H653="x",1)+IF(H267="x",1)+I267+$M$77+IF(H269="x",1)+IF(J269="x",1)+IF($M$76="x",2)+J267+IF($M$85="x",1)+IF($M$113="x",1)+IF($M$120="x",2)+IF($M$119="x",2)+IF($M$105="x",1)+IF($M$110="x",1)+IF($M$111="x",2)+IF($M$112="x",4)+IF($M$108="x",1)-IF($M$109="x",1)-IF($M$99="x",1)+IF($M$90="x",1)
&amp;"/"&amp;SUM($C$3,$I$2)-$C$120+IF($C$75="x",2)+$I$16-$B$10+$M$94+IF($C$77="x",2)-IF($C$78="x",4)-IF($I$78="x",1)-IF($C$79="x",4)+IF($C$80="x",1)-IF($I$77="x",2)-IF($I$90="x",2)+IF($I$83="x",2)-IF($C$83="x",4)-$C$112-15+IF(H653="x",1)+IF(H267="x",1)+I267+$M$77+IF(H269="x",1)+IF(J269="x",1)+IF($M$76="x",2)+J267+IF($M$85="x",1)+IF($M$113="x",1)+IF($M$120="x",2)+IF($M$119="x",2)+IF($M$105="x",1)+IF($M$110="x",1)+IF($M$111="x",2)+IF($M$112="x",4)+IF($M$108="x",1)-IF($M$109="x",1)-IF($M$99="x",1)+IF($M$90="x",1))))))</f>
        <v>0</v>
      </c>
      <c r="C267" s="49" t="str">
        <f>_xlfn.IFS($C$7="Minimaalinen","1",$C$7="Taskukokoinen","1n2",$C$7="Hyvin pieni","1n3",$C$7="Pieni","1n4",$C$7="Keskikokoinen","1n6",$C$7="Iso","1n8",$C$7="Valtava","2n6",$C$7="Suunnaton","3n6",$C$7="Giganttinen","4n6")</f>
        <v>1n6</v>
      </c>
      <c r="D267" s="18">
        <f>SUM($I$2+$C$120)+I267+$M$77+IF(I269="x",2)+IF(K269="x",2)+IF($M$119="x",2)+IF($M$108="x",1)+$M$94-IF($M$109="x",1)+K267</f>
        <v>0</v>
      </c>
      <c r="E267" s="49" t="str">
        <f>_xlfn.IFS($C$7="Minimaalinen","2",$C$7="Taskukokoinen","2n2",$C$7="Hyvin pieni","2n3",$C$7="Pieni","2n4",$C$7="Keskikokoinen","2n6",$C$7="Iso","2n8",$C$7="Valtava","4n6",$C$7="Suunnaton","6n6",$C$7="Giganttinen","8n6")</f>
        <v>2n6</v>
      </c>
      <c r="F267" s="12">
        <f>SUM(D267*2)</f>
        <v>0</v>
      </c>
      <c r="G267" s="12" t="str">
        <f>(IF($I$89="x","50 %","")&amp;(IF($C$81="x","20 %",""))&amp;(IF($C$82="x","50 %","")))</f>
        <v/>
      </c>
      <c r="H267" s="28"/>
      <c r="I267" s="17">
        <v>0</v>
      </c>
      <c r="J267" s="17">
        <v>0</v>
      </c>
      <c r="K267" s="17">
        <v>0</v>
      </c>
      <c r="AB267" s="57"/>
      <c r="AC267" s="40"/>
      <c r="AD267" s="49"/>
      <c r="AE267" s="117"/>
      <c r="AF267" s="49"/>
      <c r="AG267" s="40"/>
      <c r="AH267" s="40"/>
      <c r="AI267" s="40"/>
      <c r="AJ267" s="40"/>
      <c r="AK267" s="40"/>
      <c r="AL267" s="40"/>
    </row>
    <row r="268" spans="1:38" x14ac:dyDescent="0.2">
      <c r="A268" s="58" t="s">
        <v>8</v>
      </c>
      <c r="B268" s="119">
        <f>IF($I$85="x","PAINISSA",IF($C$3&lt;=5,SUM($C$3,$I$2)-$C$120+IF($C$75="x",2)+$I$16-$B$10+$M$94+IF($C$77="x",2)-IF($C$78="x",4)-IF($I$78="x",1)-IF($C$79="x",4)+IF($C$80="x",1)-IF($I$77="x",2)-IF($I$90="x",2)+IF($I$83="x",2)-IF($C$75="x",4)-$C$112+IF(H267="x",1)+I267+$M$77+IF(H269="x",1)+IF(J269="x",1)+IF($M$76="x",2)+J267+IF($M$85="x",1)+IF($M$113="x",1)+IF($M$120="x",2)+IF($M$119="x",2)+IF($M$105="x",1)+IF($M$110="x",1)+IF($M$111="x",2)+IF($M$112="x",4)+IF($M$108="x",1)-IF($M$109="x",1)-IF($M$99="x",1)+IF($M$90="x",1),
IF(AND($C$3&gt;5,$C$3&lt;11),SUM($C$3,$I$2)-$C$120+IF($C$75="x",2)+$I$16-$B$10+$M$94+IF($C$77="x",2)-IF($C$78="x",4)-IF($I$78="x",1)-IF($C$79="x",4)+IF($C$80="x",1)-IF($I$77="x",2)-IF($I$90="x",2)+IF($I$83="x",2)-IF($C$83="x",4)-$C$112+IF(H267="x",1)+I267+$M$77+IF(H269="x",1)+IF(J269="x",1)+IF($M$76="x",2)+J267+IF($M$85="x",1)+IF($M$113="x",1)+IF($M$120="x",2)+IF($M$119="x",2)+IF($M$105="x",1)+IF($M$110="x",1)+IF($M$111="x",2)+IF($M$112="x",4)+IF($M$108="x",1)-IF($M$109="x",1)-IF($M$99="x",1)+IF($M$90="x",1)
&amp;"/"&amp;SUM($C$3,$I$2)-$C$120+IF($C$75="x",2)+$I$16-$B$10+$M$94+IF($C$77="x",2)-IF($C$78="x",4)-IF($I$78="x",1)-IF($C$79="x",4)+IF($C$80="x",1)-IF($I$77="x",2)-IF($I$90="x",2)+IF($I$83="x",2)-IF($C$83="x",4)-$C$112-5+IF(H267="x",1)+I267+$M$77+IF(H269="x",1)+IF(J269="x",1)+IF($M$76="x",2)+J267+IF($M$85="x",1)+IF($M$113="x",1)+IF($M$120="x",2)+IF($M$119="x",2)+IF($M$105="x",1)+IF($M$110="x",1)+IF($M$111="x",2)+IF($M$112="x",4)+IF($M$108="x",1)-IF($M$109="x",1)-IF($M$99="x",1)+IF($M$90="x",1),
IF(AND($C$3&gt;10,$C$3&lt;16),SUM($C$3,$I$2)-$C$120+IF($C$75="x",2)+$I$16-$B$10+$M$94+IF($C$77="x",2)-IF($C$78="x",4)-IF($I$78="x",1)-IF($C$79="x",4)+IF($C$80="x",1)-IF($I$77="x",2)-IF($I$90="x",2)+IF($I$83="x",2)-IF($C$83="x",4)-$C$112+IF(H267="x",1)+I267+$M$77+IF(H269="x",1)+IF(J269="x",1)+IF($M$76="x",2)+J267+IF($M$85="x",1)+IF($M$113="x",1)+IF($M$120="x",2)+IF($M$119="x",2)+IF($M$105="x",1)+IF($M$110="x",1)+IF($M$111="x",2)+IF($M$112="x",4)+IF($M$108="x",1)-IF($M$109="x",1)+IF($M$99="x",20)-IF($M$99="x",1)+IF($M$90="x",1)
&amp;"/"&amp;SUM($C$3,$I$2)-$C$120+IF($C$75="x",2)+$I$16-$B$10+$M$94+IF($C$77="x",2)-IF($C$78="x",4)-IF($I$78="x",1)-IF($C$79="x",4)+IF($C$80="x",1)-IF($I$77="x",2)-IF($I$90="x",2)+IF($I$83="x",2)-IF($C$83="x",4)-$C$112-5+IF(H667="x",1)+IF(H267="x",1)+I267+$M$77+IF(H269="x",1)+IF(J269="x",1)+IF($M$76="x",2)+J267+IF($M$85="x",1)+IF($M$113="x",1)+IF($M$120="x",2)+IF($M$119="x",2)+IF($M$105="x",1)+IF($M$110="x",1)+IF($M$111="x",2)+IF($M$112="x",4)+IF($M$108="x",1)-IF($M$109="x",1)-IF($M$99="x",1)+IF($M$90="x",1)
&amp;"/"&amp;SUM($C$3,$I$2)-$C$120+IF($C$75="x",2)+$I$16-$B$10+$M$94+IF($C$77="x",2)-IF($C$78="x",4)-IF($I$78="x",1)-IF($C$79="x",4)+IF($C$80="x",1)-IF($I$77="x",2)-IF($I$90="x",2)+IF($I$83="x",2)-IF($C$83="x",4)-$C$112-10+IF(H667="x",1)+IF(H267="x",1)+I267+$M$77+IF(H269="x",1)+IF(J269="x",1)+IF($M$76="x",2)+J267+IF($M$85="x",1)+IF($M$113="x",1)+IF($M$120="x",2)+IF($M$119="x",2)+IF($M$105="x",1)+IF($M$110="x",1)+IF($M$111="x",2)+IF($M$112="x",4)+IF($M$108="x",1)-IF($M$109="x",1)-IF($M$99="x",1)+IF($M$90="x",1),
IF(AND($C$3&gt;15),SUM($C$3,$I$2)-$C$120+IF($C$75="x",2)+$I$16-$B$10+$M$94+IF($C$77="x",2)-IF($C$78="x",4)-IF($I$78="x",1)-IF($C$79="x",4)+IF($C$80="x",1)-IF($I$77="x",2)-IF($I$90="x",2)+IF($I$83="x",2)-IF($C$83="x",4)-$C$112+IF(H267="x",1)+I267+$M$77+IF(H269="x",1)+IF(J269="x",1)+IF($M$76="x",2)+J267+IF($M$85="x",1)+IF($M$113="x",1)+IF($M$120="x",2)+IF($M$119="x",2)+IF($M$105="x",1)+IF($M$110="x",1)+IF($M$111="x",2)+IF($M$112="x",4)+IF($M$108="x",1)-IF($M$109="x",1)-IF($M$99="x",1)+IF($M$90="x",1)
&amp;"/"&amp;SUM($C$3,$I$2)-$C$120+IF($C$75="x",2)+$I$16-$B$10+$M$94+IF($C$77="x",2)-IF($C$78="x",4)-IF($I$78="x",1)-IF($C$79="x",4)+IF($C$80="x",1)-IF($I$77="x",2)-IF($I$90="x",2)+IF($I$83="x",2)-IF($C$83="x",4)-$C$112-5+IF(H667="x",1)+IF(H267="x",1)+I267+$M$77+IF(H269="x",1)+IF(J269="x",1)+IF($M$76="x",2)+J267+IF($M$85="x",1)+IF($M$113="x",1)+IF($M$120="x",2)+IF($M$119="x",2)+IF($M$105="x",1)+IF($M$110="x",1)+IF($M$111="x",2)+IF($M$112="x",4)+IF($M$108="x",1)-IF($M$109="x",1)-IF($M$99="x",1)+IF($M$90="x",1)
&amp;"/"&amp;SUM($C$3,$I$2)-$C$120+IF($C$75="x",2)+$I$16-$B$10+$M$94+IF($C$77="x",2)-IF($C$78="x",4)-IF($I$78="x",1)-IF($C$79="x",4)+IF($C$80="x",1)-IF($I$77="x",2)-IF($I$90="x",2)+IF($I$83="x",2)-IF($C$83="x",4)-$C$112-10+IF(H667="x",1)+IF(H267="x",1)+I267+$M$77+IF(H269="x",1)+IF(J269="x",1)+IF($M$76="x",2)+J267+IF($M$85="x",1)+IF($M$113="x",1)+IF($M$120="x",2)+IF($M$119="x",2)+IF($M$105="x",1)+IF($M$110="x",1)+IF($M$111="x",2)+IF($M$112="x",4)+IF($M$108="x",1)-IF($M$109="x",1)-IF($M$99="x",1)+IF($M$90="x",1)
&amp;"/"&amp;SUM($C$3,$I$2)-$C$120+IF($C$75="x",2)+$I$16-$B$10+$M$94+IF($C$77="x",2)-IF($C$78="x",4)-IF($I$78="x",1)-IF($C$79="x",4)+IF($C$80="x",1)-IF($I$77="x",2)-IF($I$90="x",2)+IF($I$83="x",2)-IF($C$83="x",4)-$C$112-15+IF(H667="x",1)+IF(H267="x",1)+I267+$M$77+IF(H269="x",1)+IF(J269="x",1)+IF($M$76="x",2)+J267+IF($M$85="x",1)+IF($M$113="x",1)+IF($M$120="x",2)+IF($M$119="x",2)+IF($M$105="x",1)+IF($M$110="x",1)+IF($M$111="x",2)+IF($M$112="x",4)+IF($M$108="x",1)-IF($M$109="x",1)-IF($M$99="x",1)+IF($M$90="x",1))))))</f>
        <v>0</v>
      </c>
      <c r="C268" s="114" t="str">
        <f>_xlfn.IFS($C$7="Minimaalinen","1",$C$7="Taskukokoinen","1n2",$C$7="Hyvin pieni","1n3",$C$7="Pieni","1n4",$C$7="Keskikokoinen","1n6",$C$7="Iso","1n8",$C$7="Valtava","2n6",$C$7="Suunnaton","3n6",$C$7="Giganttinen","4n6")</f>
        <v>1n6</v>
      </c>
      <c r="D268" s="119">
        <f>IF($I$2&lt;0,$I$2,INT($I$2*1.5))+($C$120*2)+I267+$M$77+IF(I269="x",2)+IF(K269="x",2)+IF($M$119="x",2)+IF($M$108="x",1)+$M$94-IF($M$109="x",1)+K267</f>
        <v>0</v>
      </c>
      <c r="E268" s="114" t="str">
        <f>_xlfn.IFS($C$7="Minimaalinen","2",$C$7="Taskukokoinen","2n2",$C$7="Hyvin pieni","2n3",$C$7="Pieni","2n4",$C$7="Keskikokoinen","2n6",$C$7="Iso","2n8",$C$7="Valtava","4n6",$C$7="Suunnaton","6n6",$C$7="Giganttinen","8n6")</f>
        <v>2n6</v>
      </c>
      <c r="F268" s="120">
        <f>SUM(D268*2)</f>
        <v>0</v>
      </c>
      <c r="G268" s="120" t="str">
        <f>(IF($I$89="x","50 %","")&amp;(IF($C$81="x","20 %",""))&amp;(IF($C$82="x","50 %","")))</f>
        <v/>
      </c>
      <c r="H268" s="14" t="s">
        <v>220</v>
      </c>
      <c r="I268" s="14" t="s">
        <v>221</v>
      </c>
      <c r="J268" s="14" t="s">
        <v>222</v>
      </c>
      <c r="K268" s="14" t="s">
        <v>223</v>
      </c>
      <c r="AB268" s="47"/>
      <c r="AC268" s="113"/>
      <c r="AD268" s="114"/>
      <c r="AE268" s="113"/>
      <c r="AF268" s="114"/>
      <c r="AG268" s="114"/>
      <c r="AH268" s="114"/>
      <c r="AI268" s="48"/>
      <c r="AJ268" s="48"/>
      <c r="AK268" s="48"/>
      <c r="AL268" s="48"/>
    </row>
    <row r="269" spans="1:38" x14ac:dyDescent="0.2">
      <c r="A269" s="133" t="s">
        <v>438</v>
      </c>
      <c r="B269" s="121">
        <f>IF($I$85="x","PAINISSA",IF($C$3&lt;=5,SUM($C$3,$I$2)-$C$120+IF($C$75="x",2)+$I$16-$B$10+$M$94+IF($C$77="x",2)-IF($C$78="x",4)-IF($I$78="x",1)-IF($C$79="x",4)+IF($C$80="x",1)-IF($I$77="x",2)-IF($I$90="x",2)+IF($I$83="x",2)-IF($C$75="x",4)-$C$112+IF(H267="x",1)+I267+$M$77+IF(H269="x",1)+IF(J269="x",1)+IF($M$76="x",2)+J267+IF($M$85="x",1)+IF($M$113="x",1)+IF($M$120="x",2)+IF($M$119="x",2)+IF($M$105="x",1)+IF($M$110="x",1)+IF($M$111="x",2)+IF($M$112="x",4)+IF($M$108="x",1)-IF($M$109="x",1)-IF($M$99="x",1)+IF($M$90="x",1)-IF($C$97="x",2,4),
IF(AND($C$3&gt;5,$C$3&lt;11),SUM($C$3,$I$2)-$C$120+IF($C$75="x",2)+$I$16-$B$10+$M$94+IF($C$77="x",2)-IF($C$78="x",4)-IF($I$78="x",1)-IF($C$79="x",4)+IF($C$80="x",1)-IF($I$77="x",2)-IF($I$90="x",2)+IF($I$83="x",2)-IF($C$83="x",4)-$C$112+IF(H267="x",1)+I267+$M$77+IF(H269="x",1)+IF(J269="x",1)+IF($M$76="x",2)+J267+IF($M$85="x",1)+IF($M$113="x",1)+IF($M$120="x",2)+IF($M$119="x",2)+IF($M$105="x",1)+IF($M$110="x",1)+IF($M$111="x",2)+IF($M$112="x",4)+IF($M$108="x",1)-IF($M$109="x",1)-IF($M$99="x",1)+IF($M$90="x",1)-IF($C$97="x",2,4)
&amp;"/"&amp;SUM($C$3,$I$2)-$C$120+IF($C$75="x",2)+$I$16-$B$10+$M$94+IF($C$77="x",2)-IF($C$78="x",4)-IF($I$78="x",1)-IF($C$79="x",4)+IF($C$80="x",1)-IF($I$77="x",2)-IF($I$90="x",2)+IF($I$83="x",2)-IF($C$83="x",4)-$C$112-5+IF(H267="x",1)+I267+$M$77+IF(H269="x",1)+IF(J269="x",1)+IF($M$76="x",2)+J267+IF($M$85="x",1)+IF($M$113="x",1)+IF($M$120="x",2)+IF($M$119="x",2)+IF($M$105="x",1)+IF($M$110="x",1)+IF($M$111="x",2)+IF($M$112="x",4)+IF($M$108="x",1)-IF($M$109="x",1)-IF($M$99="x",1)+IF($M$90="x",1)-IF($C$97="x",2,4),
IF(AND($C$3&gt;10,$C$3&lt;16),SUM($C$3,$I$2)-$C$120+IF($C$75="x",2)+$I$16-$B$10+$M$94+IF($C$77="x",2)-IF($C$78="x",4)-IF($I$78="x",1)-IF($C$79="x",4)+IF($C$80="x",1)-IF($I$77="x",2)-IF($I$90="x",2)+IF($I$83="x",2)-IF($C$83="x",4)-$C$112+IF(H267="x",1)+I267+$M$77+IF(H269="x",1)+IF(J269="x",1)+IF($M$76="x",2)+J267+IF($M$85="x",1)+IF($M$113="x",1)+IF($M$120="x",2)+IF($M$119="x",2)+IF($M$105="x",1)+IF($M$110="x",1)+IF($M$111="x",2)+IF($M$112="x",4)+IF($M$108="x",1)-IF($M$109="x",1)+IF($M$99="x",20)-IF($M$99="x",1)+IF($M$90="x",1)-IF($C$97="x",2,4)
&amp;"/"&amp;SUM($C$3,$I$2)-$C$120+IF($C$75="x",2)+$I$16-$B$10+$M$94+IF($C$77="x",2)-IF($C$78="x",4)-IF($I$78="x",1)-IF($C$79="x",4)+IF($C$80="x",1)-IF($I$77="x",2)-IF($I$90="x",2)+IF($I$83="x",2)-IF($C$83="x",4)-$C$112-5+IF(H667="x",1)+IF(H267="x",1)+I267+$M$77+IF(H269="x",1)+IF(J269="x",1)+IF($M$76="x",2)+J267+IF($M$85="x",1)+IF($M$113="x",1)+IF($M$120="x",2)+IF($M$119="x",2)+IF($M$105="x",1)+IF($M$110="x",1)+IF($M$111="x",2)+IF($M$112="x",4)+IF($M$108="x",1)-IF($M$109="x",1)-IF($M$99="x",1)+IF($M$90="x",1)-IF($C$97="x",2,4)
&amp;"/"&amp;SUM($C$3,$I$2)-$C$120+IF($C$75="x",2)+$I$16-$B$10+$M$94+IF($C$77="x",2)-IF($C$78="x",4)-IF($I$78="x",1)-IF($C$79="x",4)+IF($C$80="x",1)-IF($I$77="x",2)-IF($I$90="x",2)+IF($I$83="x",2)-IF($C$83="x",4)-$C$112-10+IF(H667="x",1)+IF(H267="x",1)+I267+$M$77+IF(H269="x",1)+IF(J269="x",1)+IF($M$76="x",2)+J267+IF($M$85="x",1)+IF($M$113="x",1)+IF($M$120="x",2)+IF($M$119="x",2)+IF($M$105="x",1)+IF($M$110="x",1)+IF($M$111="x",2)+IF($M$112="x",4)+IF($M$108="x",1)-IF($M$109="x",1)-IF($M$99="x",1)+IF($M$90="x",1)-IF($C$97="x",2,4),
IF(AND($C$3&gt;15),SUM($C$3,$I$2)-$C$120+IF($C$75="x",2)+$I$16-$B$10+$M$94+IF($C$77="x",2)-IF($C$78="x",4)-IF($I$78="x",1)-IF($C$79="x",4)+IF($C$80="x",1)-IF($I$77="x",2)-IF($I$90="x",2)+IF($I$83="x",2)-IF($C$83="x",4)-$C$112+IF(H267="x",1)+I267+$M$77+IF(H269="x",1)+IF(J269="x",1)+IF($M$76="x",2)+J267+IF($M$85="x",1)+IF($M$113="x",1)+IF($M$120="x",2)+IF($M$119="x",2)+IF($M$105="x",1)+IF($M$110="x",1)+IF($M$111="x",2)+IF($M$112="x",4)+IF($M$108="x",1)-IF($M$109="x",1)-IF($M$99="x",1)+IF($M$90="x",1)-IF($C$97="x",2,4)
&amp;"/"&amp;SUM($C$3,$I$2)-$C$120+IF($C$75="x",2)+$I$16-$B$10+$M$94+IF($C$77="x",2)-IF($C$78="x",4)-IF($I$78="x",1)-IF($C$79="x",4)+IF($C$80="x",1)-IF($I$77="x",2)-IF($I$90="x",2)+IF($I$83="x",2)-IF($C$83="x",4)-$C$112-5+IF(H667="x",1)+IF(H267="x",1)+I267+$M$77+IF(H269="x",1)+IF(J269="x",1)+IF($M$76="x",2)+J267+IF($M$85="x",1)+IF($M$113="x",1)+IF($M$120="x",2)+IF($M$119="x",2)+IF($M$105="x",1)+IF($M$110="x",1)+IF($M$111="x",2)+IF($M$112="x",4)+IF($M$108="x",1)-IF($M$109="x",1)-IF($M$99="x",1)+IF($M$90="x",1)-IF($C$97="x",2,4)
&amp;"/"&amp;SUM($C$3,$I$2)-$C$120+IF($C$75="x",2)+$I$16-$B$10+$M$94+IF($C$77="x",2)-IF($C$78="x",4)-IF($I$78="x",1)-IF($C$79="x",4)+IF($C$80="x",1)-IF($I$77="x",2)-IF($I$90="x",2)+IF($I$83="x",2)-IF($C$83="x",4)-$C$112-10+IF(H667="x",1)+IF(H267="x",1)+I267+$M$77+IF(H269="x",1)+IF(J269="x",1)+IF($M$76="x",2)+J267+IF($M$85="x",1)+IF($M$113="x",1)+IF($M$120="x",2)+IF($M$119="x",2)+IF($M$105="x",1)+IF($M$110="x",1)+IF($M$111="x",2)+IF($M$112="x",4)+IF($M$108="x",1)-IF($M$109="x",1)-IF($M$99="x",1)+IF($M$90="x",1)-IF($C$97="x",2,4)
&amp;"/"&amp;SUM($C$3,$I$2)-$C$120+IF($C$75="x",2)+$I$16-$B$10+$M$94+IF($C$77="x",2)-IF($C$78="x",4)-IF($I$78="x",1)-IF($C$79="x",4)+IF($C$80="x",1)-IF($I$77="x",2)-IF($I$90="x",2)+IF($I$83="x",2)-IF($C$83="x",4)-$C$112-15+IF(H667="x",1)+IF(H267="x",1)+I267+$M$77+IF(H269="x",1)+IF(J269="x",1)+IF($M$76="x",2)+J267+IF($M$85="x",1)+IF($M$113="x",1)+IF($M$120="x",2)+IF($M$119="x",2)+IF($M$105="x",1)+IF($M$110="x",1)+IF($M$111="x",2)+IF($M$112="x",4)+IF($M$108="x",1)-IF($M$109="x",1)-IF($M$99="x",1)+IF($M$90="x",1)-IF($C$97="x",2,4))))))</f>
        <v>-4</v>
      </c>
      <c r="C269" s="49" t="str">
        <f>_xlfn.IFS($C$7="Minimaalinen","1",$C$7="Taskukokoinen","1n2",$C$7="Hyvin pieni","1n3",$C$7="Pieni","1n4",$C$7="Keskikokoinen","1n6",$C$7="Iso","1n8",$C$7="Valtava","2n6",$C$7="Suunnaton","3n6",$C$7="Giganttinen","4n6")</f>
        <v>1n6</v>
      </c>
      <c r="D269" s="121">
        <f>SUM($I$2+$C$120)+I267+$M$77+IF(I269="x",2)+IF(K269="x",2)+IF($M$119="x",2)+IF($M$108="x",1)+$M$94-IF($M$109="x",1)+K267</f>
        <v>0</v>
      </c>
      <c r="E269" s="49" t="str">
        <f>_xlfn.IFS($C$7="Minimaalinen","2",$C$7="Taskukokoinen","2n2",$C$7="Hyvin pieni","2n3",$C$7="Pieni","2n4",$C$7="Keskikokoinen","2n6",$C$7="Iso","2n8",$C$7="Valtava","4n6",$C$7="Suunnaton","6n6",$C$7="Giganttinen","8n6")</f>
        <v>2n6</v>
      </c>
      <c r="F269" s="12">
        <f>SUM(D269*2)</f>
        <v>0</v>
      </c>
      <c r="G269" s="82" t="str">
        <f>(IF($I$89="x","50 %","")&amp;(IF($C$81="x","20 %",""))&amp;(IF($C$82="x","50 %","")))</f>
        <v/>
      </c>
      <c r="H269" s="28"/>
      <c r="I269" s="28"/>
      <c r="J269" s="28"/>
      <c r="K269" s="28"/>
      <c r="AB269" s="56"/>
      <c r="AC269" s="51"/>
      <c r="AD269" s="49"/>
      <c r="AE269" s="51"/>
      <c r="AF269" s="49"/>
      <c r="AG269" s="40"/>
      <c r="AH269" s="49"/>
      <c r="AI269" s="40"/>
      <c r="AJ269" s="40"/>
      <c r="AK269" s="40"/>
      <c r="AL269" s="40"/>
    </row>
    <row r="270" spans="1:38" x14ac:dyDescent="0.2">
      <c r="A270" s="133" t="s">
        <v>437</v>
      </c>
      <c r="B270" s="82">
        <f>IF($I$85="x","PAINISSA",IF($C$3&lt;=5,SUM($C$3,$I$2)-$C$120+IF($C$75="x",2)+$I$16-$B$10+$M$94+IF($C$77="x",2)-IF($C$78="x",4)-IF($I$78="x",1)-IF($C$79="x",4)+IF($C$80="x",1)-IF($I$77="x",2)-IF($I$90="x",2)+IF($I$83="x",2)-IF($C$75="x",4)-$C$112+IF(H267="x",1)+I267+$M$77+IF(H269="x",1)+IF(J269="x",1)+IF($M$76="x",2)+J267+IF($M$85="x",1)+IF($M$113="x",1)+IF($M$120="x",2)+IF($M$119="x",2)+IF($M$105="x",1)+IF($M$110="x",1)+IF($M$111="x",2)+IF($M$112="x",4)+IF($M$108="x",1)-IF($M$109="x",1)-IF($M$99="x",1)+IF($M$90="x",1)-IF($C$97="x",4,6),
IF(AND($C$3&gt;5,$C$3&lt;11),SUM($C$3,$I$2)-$C$120+IF($C$75="x",2)+$I$16-$B$10+$M$94+IF($C$77="x",2)-IF($C$78="x",4)-IF($I$78="x",1)-IF($C$79="x",4)+IF($C$80="x",1)-IF($I$77="x",2)-IF($I$90="x",2)+IF($I$83="x",2)-IF($C$83="x",4)-$C$112+IF(H267="x",1)+I267+$M$77+IF(H269="x",1)+IF(J269="x",1)+IF($M$76="x",2)+J267+IF($M$85="x",1)+IF($M$113="x",1)+IF($M$120="x",2)+IF($M$119="x",2)+IF($M$105="x",1)+IF($M$110="x",1)+IF($M$111="x",2)+IF($M$112="x",4)+IF($M$108="x",1)-IF($M$109="x",1)-IF($M$99="x",1)+IF($M$90="x",1)-IF($C$97="x",4,6)
&amp;"/"&amp;SUM($C$3,$I$2)-$C$120+IF($C$75="x",2)+$I$16-$B$10+$M$94+IF($C$77="x",2)-IF($C$78="x",4)-IF($I$78="x",1)-IF($C$79="x",4)+IF($C$80="x",1)-IF($I$77="x",2)-IF($I$90="x",2)+IF($I$83="x",2)-IF($C$83="x",4)-$C$112-5+IF(H267="x",1)+I267+$M$77+IF(H269="x",1)+IF(J269="x",1)+IF($M$76="x",2)+J267+IF($M$85="x",1)+IF($M$113="x",1)+IF($M$120="x",2)+IF($M$119="x",2)+IF($M$105="x",1)+IF($M$110="x",1)+IF($M$111="x",2)+IF($M$112="x",4)+IF($M$108="x",1)-IF($M$109="x",1)-IF($M$99="x",1)+IF($M$90="x",1)-IF($C$97="x",4,6),
IF(AND($C$3&gt;10,$C$3&lt;16),SUM($C$3,$I$2)-$C$120+IF($C$75="x",2)+$I$16-$B$10+$M$94+IF($C$77="x",2)-IF($C$78="x",4)-IF($I$78="x",1)-IF($C$79="x",4)+IF($C$80="x",1)-IF($I$77="x",2)-IF($I$90="x",2)+IF($I$83="x",2)-IF($C$83="x",4)-$C$112+IF(H267="x",1)+I267+$M$77+IF(H269="x",1)+IF(J269="x",1)+IF($M$76="x",2)+J267+IF($M$85="x",1)+IF($M$113="x",1)+IF($M$120="x",2)+IF($M$119="x",2)+IF($M$105="x",1)+IF($M$110="x",1)+IF($M$111="x",2)+IF($M$112="x",4)+IF($M$108="x",1)-IF($M$109="x",1)+IF($M$99="x",20)-IF($M$99="x",1)+IF($M$90="x",1)-IF($C$97="x",4,6)
&amp;"/"&amp;SUM($C$3,$I$2)-$C$120+IF($C$75="x",2)+$I$16-$B$10+$M$94+IF($C$77="x",2)-IF($C$78="x",4)-IF($I$78="x",1)-IF($C$79="x",4)+IF($C$80="x",1)-IF($I$77="x",2)-IF($I$90="x",2)+IF($I$83="x",2)-IF($C$83="x",4)-$C$112-5+IF(H667="x",1)+IF(H267="x",1)+I267+$M$77+IF(H269="x",1)+IF(J269="x",1)+IF($M$76="x",2)+J267+IF($M$85="x",1)+IF($M$113="x",1)+IF($M$120="x",2)+IF($M$119="x",2)+IF($M$105="x",1)+IF($M$110="x",1)+IF($M$111="x",2)+IF($M$112="x",4)+IF($M$108="x",1)-IF($M$109="x",1)-IF($M$99="x",1)+IF($M$90="x",1)-IF($C$97="x",4,6)
&amp;"/"&amp;SUM($C$3,$I$2)-$C$120+IF($C$75="x",2)+$I$16-$B$10+$M$94+IF($C$77="x",2)-IF($C$78="x",4)-IF($I$78="x",1)-IF($C$79="x",4)+IF($C$80="x",1)-IF($I$77="x",2)-IF($I$90="x",2)+IF($I$83="x",2)-IF($C$83="x",4)-$C$112-10+IF(H667="x",1)+IF(H267="x",1)+I267+$M$77+IF(H269="x",1)+IF(J269="x",1)+IF($M$76="x",2)+J267+IF($M$85="x",1)+IF($M$113="x",1)+IF($M$120="x",2)+IF($M$119="x",2)+IF($M$105="x",1)+IF($M$110="x",1)+IF($M$111="x",2)+IF($M$112="x",4)+IF($M$108="x",1)-IF($M$109="x",1)-IF($M$99="x",1)+IF($M$90="x",1)-IF($C$97="x",4,6),
IF(AND($C$3&gt;15),SUM($C$3,$I$2)-$C$120+IF($C$75="x",2)+$I$16-$B$10+$M$94+IF($C$77="x",2)-IF($C$78="x",4)-IF($I$78="x",1)-IF($C$79="x",4)+IF($C$80="x",1)-IF($I$77="x",2)-IF($I$90="x",2)+IF($I$83="x",2)-IF($C$83="x",4)-$C$112+IF(H267="x",1)+I267+$M$77+IF(H269="x",1)+IF(J269="x",1)+IF($M$76="x",2)+J267+IF($M$85="x",1)+IF($M$113="x",1)+IF($M$120="x",2)+IF($M$119="x",2)+IF($M$105="x",1)+IF($M$110="x",1)+IF($M$111="x",2)+IF($M$112="x",4)+IF($M$108="x",1)-IF($M$109="x",1)-IF($M$99="x",1)+IF($M$90="x",1)-IF($C$97="x",4,6)
&amp;"/"&amp;SUM($C$3,$I$2)-$C$120+IF($C$75="x",2)+$I$16-$B$10+$M$94+IF($C$77="x",2)-IF($C$78="x",4)-IF($I$78="x",1)-IF($C$79="x",4)+IF($C$80="x",1)-IF($I$77="x",2)-IF($I$90="x",2)+IF($I$83="x",2)-IF($C$83="x",4)-$C$112-5+IF(H667="x",1)+IF(H267="x",1)+I267+$M$77+IF(H269="x",1)+IF(J269="x",1)+IF($M$76="x",2)+J267+IF($M$85="x",1)+IF($M$113="x",1)+IF($M$120="x",2)+IF($M$119="x",2)+IF($M$105="x",1)+IF($M$110="x",1)+IF($M$111="x",2)+IF($M$112="x",4)+IF($M$108="x",1)-IF($M$109="x",1)-IF($M$99="x",1)+IF($M$90="x",1)-IF($C$97="x",4,6)
&amp;"/"&amp;SUM($C$3,$I$2)-$C$120+IF($C$75="x",2)+$I$16-$B$10+$M$94+IF($C$77="x",2)-IF($C$78="x",4)-IF($I$78="x",1)-IF($C$79="x",4)+IF($C$80="x",1)-IF($I$77="x",2)-IF($I$90="x",2)+IF($I$83="x",2)-IF($C$83="x",4)-$C$112-10+IF(H667="x",1)+IF(H267="x",1)+I267+$M$77+IF(H269="x",1)+IF(J269="x",1)+IF($M$76="x",2)+J267+IF($M$85="x",1)+IF($M$113="x",1)+IF($M$120="x",2)+IF($M$119="x",2)+IF($M$105="x",1)+IF($M$110="x",1)+IF($M$111="x",2)+IF($M$112="x",4)+IF($M$108="x",1)-IF($M$109="x",1)-IF($M$99="x",1)+IF($M$90="x",1)-IF($C$97="x",4,6)
&amp;"/"&amp;SUM($C$3,$I$2)-$C$120+IF($C$75="x",2)+$I$16-$B$10+$M$94+IF($C$77="x",2)-IF($C$78="x",4)-IF($I$78="x",1)-IF($C$79="x",4)+IF($C$80="x",1)-IF($I$77="x",2)-IF($I$90="x",2)+IF($I$83="x",2)-IF($C$83="x",4)-$C$112-15+IF(H667="x",1)+IF(H267="x",1)+I267+$M$77+IF(H269="x",1)+IF(J269="x",1)+IF($M$76="x",2)+J267+IF($M$85="x",1)+IF($M$113="x",1)+IF($M$120="x",2)+IF($M$119="x",2)+IF($M$105="x",1)+IF($M$110="x",1)+IF($M$111="x",2)+IF($M$112="x",4)+IF($M$108="x",1)-IF($M$109="x",1)-IF($M$99="x",1)+IF($M$90="x",1)-IF($C$97="x",4,6))))))</f>
        <v>-6</v>
      </c>
      <c r="C270" s="49" t="str">
        <f>_xlfn.IFS($C$7="Minimaalinen","1",$C$7="Taskukokoinen","1n2",$C$7="Hyvin pieni","1n3",$C$7="Pieni","1n4",$C$7="Keskikokoinen","1n6",$C$7="Iso","1n8",$C$7="Valtava","2n6",$C$7="Suunnaton","3n6",$C$7="Giganttinen","4n6")</f>
        <v>1n6</v>
      </c>
      <c r="D270" s="121">
        <f>SUM($I$2+$C$120)+I267+$M$77+IF(I269="x",2)+IF(K269="x",2)+IF($M$119="x",2)+IF($M$108="x",1)+$M$94-IF($M$109="x",1)+K267</f>
        <v>0</v>
      </c>
      <c r="E270" s="49" t="str">
        <f>_xlfn.IFS($C$7="Minimaalinen","2",$C$7="Taskukokoinen","2n2",$C$7="Hyvin pieni","2n3",$C$7="Pieni","2n4",$C$7="Keskikokoinen","2n6",$C$7="Iso","2n8",$C$7="Valtava","4n6",$C$7="Suunnaton","6n6",$C$7="Giganttinen","8n6")</f>
        <v>2n6</v>
      </c>
      <c r="F270" s="12">
        <f>SUM(D270*2)</f>
        <v>0</v>
      </c>
      <c r="G270" s="82" t="str">
        <f>(IF($I$89="x","50 %","")&amp;(IF($C$81="x","20 %",""))&amp;(IF($C$82="x","50 %","")))</f>
        <v/>
      </c>
      <c r="H270" s="48"/>
      <c r="I270" s="15"/>
      <c r="AB270" s="56"/>
      <c r="AC270" s="49"/>
      <c r="AD270" s="49"/>
      <c r="AE270" s="51"/>
      <c r="AF270" s="49"/>
      <c r="AG270" s="40"/>
      <c r="AH270" s="49"/>
      <c r="AI270" s="48"/>
      <c r="AJ270" s="57"/>
      <c r="AK270" s="57"/>
      <c r="AL270" s="57"/>
    </row>
    <row r="271" spans="1:38" x14ac:dyDescent="0.2">
      <c r="A271" s="122" t="s">
        <v>436</v>
      </c>
      <c r="B271" s="123">
        <f>IF($I$85="x","PAINISSA",IF(AND($C$90="",$C$118=""),SUM($C$3,$I$2)-$C$120+IF($C$75="x",2)+$I$16-$B$10+$M$94+IF($C$77="x",2)-IF($C$78="x",4)-IF($I$78="x",1)-IF($C$79="x",4)+IF($C$80="x",1)-IF($I$77="x",2)-IF($I$90="x",2)+IF($I$83="x",2)-IF($C$75="x",4)-$C$112+IF(H267="x",1)+I267+$M$77+IF(H269="x",1)+IF(J269="x",1)+IF($M$76="x",2)+J267+IF($M$85="x",1)+IF($M$113="x",1)+IF($M$120="x",2)+IF($M$119="x",2)+IF($M$105="x",1)+IF($M$110="x",1)+IF($M$111="x",2)+IF($M$112="x",4)+IF($M$108="x",1)-IF($M$109="x",1)-IF($M$99="x",1)+IF($M$90="x",1)-IF($C$97="x",4,10),
IF(AND($C$90="x",$C$118=""),SUM($C$3,$I$2)-$C$120+IF($C$75="x",2)+$I$16-$B$10+$M$94+IF($C$77="x",2)-IF($C$78="x",4)-IF($I$78="x",1)-IF($C$79="x",4)+IF($C$80="x",1)-IF($I$77="x",2)-IF($I$90="x",2)+IF($I$83="x",2)-IF($C$83="x",4)-$C$112+IF(H267="x",1)+I267+$M$77+IF(H269="x",1)+IF(J269="x",1)+IF($M$76="x",2)+J267+IF($M$85="x",1)+IF($M$113="x",1)+IF($M$120="x",2)+IF($M$119="x",2)+IF($M$105="x",1)+IF($M$110="x",1)+IF($M$111="x",2)+IF($M$112="x",4)+IF($M$108="x",1)-IF($M$109="x",1)-IF($M$99="x",1)+IF($M$90="x",1)-IF($C$97="x",4,10)
&amp;"/"&amp;SUM($C$3,$I$2)-$C$120+IF($C$75="x",2)+$I$16-$B$10+$M$94+IF($C$77="x",2)-IF($C$78="x",4)-IF($I$78="x",1)-IF($C$79="x",4)+IF($C$80="x",1)-IF($I$77="x",2)-IF($I$90="x",2)+IF($I$83="x",2)-IF($C$83="x",4)-$C$112+IF(H267="x",1)+I267+$M$77+IF(H269="x",1)+IF(J269="x",1)+IF($M$76="x",2)+J267+IF($M$85="x",1)+IF($M$113="x",1)+IF($M$120="x",2)+IF($M$119="x",2)+IF($M$105="x",1)+IF($M$110="x",1)+IF($M$111="x",2)+IF($M$112="x",4)+IF($M$108="x",1)-IF($M$109="x",1)-IF($M$99="x",1)+IF($M$90="x",1)-IF($C$97="x",4,10)-5,
IF(AND($C$90="x",$C$118="x"),SUM($C$3,$I$2)-$C$120+IF($C$75="x",2)+$I$16-$B$10+$M$94+IF($C$77="x",2)-IF($C$78="x",4)-IF($I$78="x",1)-IF($C$79="x",4)+IF($C$80="x",1)-IF($I$77="x",2)-IF($I$90="x",2)+IF($I$83="x",2)-IF($C$83="x",4)-$C$112+IF(H267="x",1)+I267+$M$77+IF(H269="x",1)+IF(J269="x",1)+IF($M$76="x",2)+J267+IF($M$85="x",1)+IF($M$113="x",1)+IF($M$120="x",2)+IF($M$119="x",2)+IF($M$105="x",1)+IF($M$110="x",1)+IF($M$111="x",2)+IF($M$112="x",4)+IF($M$108="x",1)-IF($M$109="x",1)+IF($M$99="x",20)-IF($M$99="x",1)+IF($M$90="x",1)-IF($C$97="x",4,10)
&amp;"/"&amp;SUM($C$3,$I$2)-$C$120+IF($C$75="x",2)+$I$16-$B$10+$M$94+IF($C$77="x",2)-IF($C$78="x",4)-IF($I$78="x",1)-IF($C$79="x",4)+IF($C$80="x",1)-IF($I$77="x",2)-IF($I$90="x",2)+IF($I$83="x",2)-IF($C$83="x",4)-$C$112-5+IF(H267="x",1)+I267+$M$77+IF(H269="x",1)+IF(J269="x",1)+IF($M$76="x",2)+J267+IF($M$85="x",1)+IF($M$113="x",1)+IF($M$120="x",2)+IF($M$119="x",2)+IF($M$105="x",1)+IF($M$110="x",1)+IF($M$111="x",2)+IF($M$112="x",4)+IF($M$108="x",1)-IF($M$109="x",1)-IF($M$99="x",1)+IF($M$90="x",1)-IF($C$97="x",4,10)
&amp;"/"&amp;SUM($C$3,$I$2)-$C$120+IF($C$75="x",2)+$I$16-$B$10+$M$94+IF($C$77="x",2)-IF($C$78="x",4)-IF($I$78="x",1)-IF($C$79="x",4)+IF($C$80="x",1)-IF($I$77="x",2)-IF($I$90="x",2)+IF($I$83="x",2)-IF($C$83="x",4)-$C$112-10+IF(H267="x",1)+I267+$M$77+IF(H269="x",1)+IF(J269="x",1)+IF($M$76="x",2)+J267+IF($M$85="x",1)+IF($M$113="x",1)+IF($M$120="x",2)+IF($M$119="x",2)+IF($M$105="x",1)+IF($M$110="x",1)+IF($M$111="x",2)+IF($M$112="x",4)+IF($M$108="x",1)-IF($M$109="x",1)-IF($M$99="x",1)+IF($M$90="x",1)-IF($C$97="x",4,10)))))</f>
        <v>-10</v>
      </c>
      <c r="C271" s="54" t="str">
        <f>_xlfn.IFS($C$7="Minimaalinen","1",$C$7="Taskukokoinen","1n2",$C$7="Hyvin pieni","1n3",$C$7="Pieni","1n4",$C$7="Keskikokoinen","1n6",$C$7="Iso","1n8",$C$7="Valtava","2n6",$C$7="Suunnaton","3n6",$C$7="Giganttinen","4n6")</f>
        <v>1n6</v>
      </c>
      <c r="D271" s="123">
        <f>INT($I$2/2)+($C$120)+I267+$M$77+IF(I269="x",2)+IF(K269="x",2)+IF($M$119="x",2)+IF($M$108="x",1)+$M$94+K267-IF($M$109="x",1)</f>
        <v>0</v>
      </c>
      <c r="E271" s="54" t="str">
        <f>_xlfn.IFS($C$7="Minimaalinen","2",$C$7="Taskukokoinen","2n2",$C$7="Hyvin pieni","2n3",$C$7="Pieni","2n4",$C$7="Keskikokoinen","2n6",$C$7="Iso","2n8",$C$7="Valtava","4n6",$C$7="Suunnaton","6n6",$C$7="Giganttinen","8n6")</f>
        <v>2n6</v>
      </c>
      <c r="F271" s="124">
        <f>SUM(D271*2)</f>
        <v>0</v>
      </c>
      <c r="G271" s="124" t="str">
        <f>(IF($I$89="x","50 %","")&amp;(IF($C$81="x","20 %",""))&amp;(IF($C$82="x","50 %","")))</f>
        <v/>
      </c>
      <c r="H271" s="40"/>
      <c r="K271" s="82"/>
      <c r="AB271" s="137"/>
      <c r="AC271" s="53"/>
      <c r="AD271" s="54"/>
      <c r="AE271" s="53"/>
      <c r="AF271" s="54"/>
      <c r="AG271" s="54"/>
      <c r="AH271" s="54"/>
      <c r="AI271" s="40"/>
      <c r="AJ271" s="60"/>
      <c r="AK271" s="57"/>
      <c r="AL271" s="61"/>
    </row>
    <row r="272" spans="1:38" x14ac:dyDescent="0.2">
      <c r="B272" s="15"/>
      <c r="C272" s="15"/>
      <c r="D272" s="15"/>
      <c r="F272" s="15"/>
      <c r="G272" s="15"/>
      <c r="H272" s="15"/>
      <c r="I272" s="15"/>
    </row>
    <row r="273" spans="1:38" x14ac:dyDescent="0.2">
      <c r="B273" s="15"/>
      <c r="C273" s="15"/>
      <c r="D273" s="15"/>
      <c r="F273" s="15"/>
      <c r="G273" s="15"/>
      <c r="H273" s="15"/>
      <c r="I273" s="15"/>
    </row>
    <row r="274" spans="1:38" x14ac:dyDescent="0.2">
      <c r="A274" s="34" t="s">
        <v>314</v>
      </c>
      <c r="B274" s="130" t="s">
        <v>1</v>
      </c>
      <c r="C274" s="130" t="s">
        <v>2</v>
      </c>
      <c r="D274" s="130" t="s">
        <v>3</v>
      </c>
      <c r="E274" s="130" t="s">
        <v>229</v>
      </c>
      <c r="F274" s="130" t="s">
        <v>3</v>
      </c>
      <c r="G274" s="130" t="s">
        <v>45</v>
      </c>
      <c r="H274" s="14" t="s">
        <v>179</v>
      </c>
      <c r="I274" s="130" t="s">
        <v>242</v>
      </c>
      <c r="J274" s="130" t="s">
        <v>224</v>
      </c>
      <c r="K274" s="130" t="s">
        <v>225</v>
      </c>
      <c r="AB274" s="46"/>
      <c r="AC274" s="48"/>
      <c r="AD274" s="48"/>
      <c r="AE274" s="48"/>
      <c r="AF274" s="48"/>
      <c r="AG274" s="48"/>
      <c r="AH274" s="48"/>
      <c r="AI274" s="48"/>
      <c r="AJ274" s="48"/>
      <c r="AK274" s="48"/>
      <c r="AL274" s="48"/>
    </row>
    <row r="275" spans="1:38" x14ac:dyDescent="0.2">
      <c r="A275" s="85" t="s">
        <v>219</v>
      </c>
      <c r="B275" s="98">
        <f>IF($I$85="x","PAINISSA",IF($C$3&lt;=5,SUM($C$3,$I$2)-$C$120+IF($C$75="x",2)+$I$16-$B$10+$M$94+IF($C$77="x",2)-IF($C$78="x",4)-IF($I$78="x",1)-IF($C$79="x",4)+IF($C$80="x",1)-IF($I$77="x",2)-IF($I$90="x",2)+IF($I$83="x",2)-IF($C$75="x",4)-$C$112+IF(H275="x",1)+I275+$M$77+IF(H277="x",1)+IF(J277="x",1)+IF($M$76="x",2)+J275+IF($M$85="x",1)+IF($M$113="x",1)+IF($M$120="x",2)+IF($M$119="x",2)+IF($M$105="x",1)+IF($M$110="x",1)+IF($M$111="x",2)+IF($M$112="x",4)+IF($M$108="x",1)-IF($M$109="x",1)-IF($M$99="x",1)+IF($M$90="x",1),
IF(AND($C$3&gt;5,$C$3&lt;11),SUM($C$3,$I$2)-$C$120+IF($C$75="x",2)+$I$16-$B$10+$M$94+IF($C$77="x",2)-IF($C$78="x",4)-IF($I$78="x",1)-IF($C$79="x",4)+IF($C$80="x",1)-IF($I$77="x",2)-IF($I$90="x",2)+IF($I$83="x",2)-IF($C$83="x",4)-$C$112+IF(H275="x",1)+I275+$M$77+IF(H277="x",1)+IF(J277="x",1)+IF($M$76="x",2)+J275+IF($M$85="x",1)+IF($M$113="x",1)+IF($M$120="x",2)+IF($M$119="x",2)+IF($M$105="x",1)+IF($M$110="x",1)+IF($M$111="x",2)+IF($M$112="x",4)+IF($M$108="x",1)-IF($M$109="x",1)-IF($M$99="x",1)+IF($M$90="x",1)
&amp;"/"&amp;SUM($C$3,$I$2)-$C$120+IF($C$75="x",2)+$I$16-$B$10+$M$94+IF($C$77="x",2)-IF($C$78="x",4)-IF($I$78="x",1)-IF($C$79="x",4)+IF($C$80="x",1)-IF($I$77="x",2)-IF($I$90="x",2)+IF($I$83="x",2)-IF($C$83="x",4)-$C$112-5+IF(H275="x",1)+I275+$M$77+IF(H277="x",1)+IF(J277="x",1)+IF($M$76="x",2)+J275+IF($M$85="x",1)+IF($M$113="x",1)+IF($M$120="x",2)+IF($M$119="x",2)+IF($M$105="x",1)+IF($M$110="x",1)+IF($M$111="x",2)+IF($M$112="x",4)+IF($M$108="x",1)-IF($M$109="x",1)-IF($M$99="x",1)+IF($M$90="x",1),
IF(AND($C$3&gt;10,$C$3&lt;16),SUM($C$3,$I$2)-$C$120+IF($C$75="x",2)+$I$16-$B$10+$M$94+IF($C$77="x",2)-IF($C$78="x",4)-IF($I$78="x",1)-IF($C$79="x",4)+IF($C$80="x",1)-IF($I$77="x",2)-IF($I$90="x",2)+IF($I$83="x",2)-IF($C$83="x",4)-$C$112+IF(H275="x",1)+I275+$M$77+IF(H277="x",1)+IF(J277="x",1)+IF($M$76="x",2)+J275+IF($M$85="x",1)+IF($M$113="x",1)+IF($M$120="x",2)+IF($M$119="x",2)+IF($M$105="x",1)+IF($M$110="x",1)+IF($M$111="x",2)+IF($M$112="x",4)+IF($M$108="x",1)-IF($M$109="x",1)+IF($M$99="x",20)-IF($M$99="x",1)+IF($M$90="x",1)
&amp;"/"&amp;SUM($C$3,$I$2)-$C$120+IF($C$75="x",2)+$I$16-$B$10+$M$94+IF($C$77="x",2)-IF($C$78="x",4)-IF($I$78="x",1)-IF($C$79="x",4)+IF($C$80="x",1)-IF($I$77="x",2)-IF($I$90="x",2)+IF($I$83="x",2)-IF($C$83="x",4)-$C$112-5+IF(H667="x",1)+IF(H275="x",1)+I275+$M$77+IF(H277="x",1)+IF(J277="x",1)+IF($M$76="x",2)+J275+IF($M$85="x",1)+IF($M$113="x",1)+IF($M$120="x",2)+IF($M$119="x",2)+IF($M$105="x",1)+IF($M$110="x",1)+IF($M$111="x",2)+IF($M$112="x",4)+IF($M$108="x",1)-IF($M$109="x",1)-IF($M$99="x",1)+IF($M$90="x",1)
&amp;"/"&amp;SUM($C$3,$I$2)-$C$120+IF($C$75="x",2)+$I$16-$B$10+$M$94+IF($C$77="x",2)-IF($C$78="x",4)-IF($I$78="x",1)-IF($C$79="x",4)+IF($C$80="x",1)-IF($I$77="x",2)-IF($I$90="x",2)+IF($I$83="x",2)-IF($C$83="x",4)-$C$112-10+IF(H667="x",1)+IF(H275="x",1)+I275+$M$77+IF(H277="x",1)+IF(J277="x",1)+IF($M$76="x",2)+J275+IF($M$85="x",1)+IF($M$113="x",1)+IF($M$120="x",2)+IF($M$119="x",2)+IF($M$105="x",1)+IF($M$110="x",1)+IF($M$111="x",2)+IF($M$112="x",4)+IF($M$108="x",1)-IF($M$109="x",1)-IF($M$99="x",1)+IF($M$90="x",1),
IF(AND($C$3&gt;15),SUM($C$3,$I$2)-$C$120+IF($C$75="x",2)+$I$16-$B$10+$M$94+IF($C$77="x",2)-IF($C$78="x",4)-IF($I$78="x",1)-IF($C$79="x",4)+IF($C$80="x",1)-IF($I$77="x",2)-IF($I$90="x",2)+IF($I$83="x",2)-IF($C$83="x",4)-$C$112+IF(H275="x",1)+I275+$M$77+IF(H277="x",1)+IF(J277="x",1)+IF($M$76="x",2)+J275+IF($M$85="x",1)+IF($M$113="x",1)+IF($M$120="x",2)+IF($M$119="x",2)+IF($M$105="x",1)+IF($M$110="x",1)+IF($M$111="x",2)+IF($M$112="x",4)+IF($M$108="x",1)-IF($M$109="x",1)-IF($M$99="x",1)+IF($M$90="x",1)
&amp;"/"&amp;SUM($C$3,$I$2)-$C$120+IF($C$75="x",2)+$I$16-$B$10+$M$94+IF($C$77="x",2)-IF($C$78="x",4)-IF($I$78="x",1)-IF($C$79="x",4)+IF($C$80="x",1)-IF($I$77="x",2)-IF($I$90="x",2)+IF($I$83="x",2)-IF($C$83="x",4)-$C$112-5+IF(H667="x",1)+IF(H275="x",1)+I275+$M$77+IF(H277="x",1)+IF(J277="x",1)+IF($M$76="x",2)+J275+IF($M$85="x",1)+IF($M$113="x",1)+IF($M$120="x",2)+IF($M$119="x",2)+IF($M$105="x",1)+IF($M$110="x",1)+IF($M$111="x",2)+IF($M$112="x",4)+IF($M$108="x",1)-IF($M$109="x",1)-IF($M$99="x",1)+IF($M$90="x",1)
&amp;"/"&amp;SUM($C$3,$I$2)-$C$120+IF($C$75="x",2)+$I$16-$B$10+$M$94+IF($C$77="x",2)-IF($C$78="x",4)-IF($I$78="x",1)-IF($C$79="x",4)+IF($C$80="x",1)-IF($I$77="x",2)-IF($I$90="x",2)+IF($I$83="x",2)-IF($C$83="x",4)-$C$112-10+IF(H667="x",1)+IF(H275="x",1)+I275+$M$77+IF(H277="x",1)+IF(J277="x",1)+IF($M$76="x",2)+J275+IF($M$85="x",1)+IF($M$113="x",1)+IF($M$120="x",2)+IF($M$119="x",2)+IF($M$105="x",1)+IF($M$110="x",1)+IF($M$111="x",2)+IF($M$112="x",4)+IF($M$108="x",1)-IF($M$109="x",1)-IF($M$99="x",1)+IF($M$90="x",1)
&amp;"/"&amp;SUM($C$3,$I$2)-$C$120+IF($C$75="x",2)+$I$16-$B$10+$M$94+IF($C$77="x",2)-IF($C$78="x",4)-IF($I$78="x",1)-IF($C$79="x",4)+IF($C$80="x",1)-IF($I$77="x",2)-IF($I$90="x",2)+IF($I$83="x",2)-IF($C$83="x",4)-$C$112-15+IF(H667="x",1)+IF(H275="x",1)+I275+$M$77+IF(H277="x",1)+IF(J277="x",1)+IF($M$76="x",2)+J275+IF($M$85="x",1)+IF($M$113="x",1)+IF($M$120="x",2)+IF($M$119="x",2)+IF($M$105="x",1)+IF($M$110="x",1)+IF($M$111="x",2)+IF($M$112="x",4)+IF($M$108="x",1)-IF($M$109="x",1)-IF($M$99="x",1)+IF($M$90="x",1))))))</f>
        <v>0</v>
      </c>
      <c r="C275" s="66" t="str">
        <f>_xlfn.IFS($C$7="Minimaalinen","1n3",$C$7="Taskukokoinen","1n4",$C$7="Hyvin pieni","1n6",$C$7="Pieni","1n8",$C$7="Keskikokoinen","1n10",$C$7="Iso","2n8",$C$7="Valtava","3n8",$C$7="Suunnaton","4n8",$C$7="Giganttinen","6n8")</f>
        <v>1n10</v>
      </c>
      <c r="D275" s="97">
        <f>SUM($I$2+$C$120)+I275+$M$77+IF(I277="x",2)+IF(K277="x",2)+IF($M$119="x",2)+IF($M$108="x",1)+$M$94-IF($M$109="x",1)+K275</f>
        <v>0</v>
      </c>
      <c r="E275" s="66" t="str">
        <f>_xlfn.IFS($C$7="Minimaalinen","3n3",$C$7="Taskukokoinen","3n4",$C$7="Hyvin pieni","3n6",$C$7="Pieni","3n8",$C$7="Keskikokoinen","3n10",$C$7="Iso","6n8",$C$7="Valtava","9n8",$C$7="Suunnaton","12n8",$C$7="Giganttinen","18n8")</f>
        <v>3n10</v>
      </c>
      <c r="F275" s="98">
        <f>SUM(D275*3)</f>
        <v>0</v>
      </c>
      <c r="G275" s="98" t="str">
        <f>(IF($I$89="x","50 %","")&amp;(IF($C$81="x","20 %",""))&amp;(IF($C$82="x","50 %","")))</f>
        <v/>
      </c>
      <c r="H275" s="28"/>
      <c r="I275" s="17">
        <v>0</v>
      </c>
      <c r="J275" s="17">
        <v>0</v>
      </c>
      <c r="K275" s="17">
        <v>0</v>
      </c>
      <c r="AC275" s="40"/>
      <c r="AD275" s="49"/>
      <c r="AE275" s="41"/>
      <c r="AF275" s="49"/>
      <c r="AG275" s="40"/>
      <c r="AH275" s="40"/>
      <c r="AI275" s="40"/>
      <c r="AJ275" s="40"/>
      <c r="AK275" s="40"/>
      <c r="AL275" s="40"/>
    </row>
    <row r="276" spans="1:38" x14ac:dyDescent="0.2">
      <c r="A276" s="58" t="s">
        <v>8</v>
      </c>
      <c r="B276" s="119">
        <f>IF($I$85="x","PAINISSA",IF($C$3&lt;=5,SUM($C$3,$I$2)-$C$120+IF($C$75="x",2)+$I$16-$B$10+$M$94+IF($C$77="x",2)-IF($C$78="x",4)-IF($I$78="x",1)-IF($C$79="x",4)+IF($C$80="x",1)-IF($I$77="x",2)-IF($I$90="x",2)+IF($I$83="x",2)-IF($C$75="x",4)-$C$112+IF(H275="x",1)+I275+$M$77+IF(H277="x",1)+IF(J277="x",1)+IF($M$76="x",2)+J275+IF($M$85="x",1)+IF($M$113="x",1)+IF($M$120="x",2)+IF($M$119="x",2)+IF($M$105="x",1)+IF($M$110="x",1)+IF($M$111="x",2)+IF($M$112="x",4)+IF($M$108="x",1)-IF($M$109="x",1)-IF($M$99="x",1)+IF($M$90="x",1),
IF(AND($C$3&gt;5,$C$3&lt;11),SUM($C$3,$I$2)-$C$120+IF($C$75="x",2)+$I$16-$B$10+$M$94+IF($C$77="x",2)-IF($C$78="x",4)-IF($I$78="x",1)-IF($C$79="x",4)+IF($C$80="x",1)-IF($I$77="x",2)-IF($I$90="x",2)+IF($I$83="x",2)-IF($C$83="x",4)-$C$112+IF(H275="x",1)+I275+$M$77+IF(H277="x",1)+IF(J277="x",1)+IF($M$76="x",2)+J275+IF($M$85="x",1)+IF($M$113="x",1)+IF($M$120="x",2)+IF($M$119="x",2)+IF($M$105="x",1)+IF($M$110="x",1)+IF($M$111="x",2)+IF($M$112="x",4)+IF($M$108="x",1)-IF($M$109="x",1)-IF($M$99="x",1)+IF($M$90="x",1)
&amp;"/"&amp;SUM($C$3,$I$2)-$C$120+IF($C$75="x",2)+$I$16-$B$10+$M$94+IF($C$77="x",2)-IF($C$78="x",4)-IF($I$78="x",1)-IF($C$79="x",4)+IF($C$80="x",1)-IF($I$77="x",2)-IF($I$90="x",2)+IF($I$83="x",2)-IF($C$83="x",4)-$C$112-5+IF(H275="x",1)+I275+$M$77+IF(H277="x",1)+IF(J277="x",1)+IF($M$76="x",2)+J275+IF($M$85="x",1)+IF($M$113="x",1)+IF($M$120="x",2)+IF($M$119="x",2)+IF($M$105="x",1)+IF($M$110="x",1)+IF($M$111="x",2)+IF($M$112="x",4)+IF($M$108="x",1)-IF($M$109="x",1)-IF($M$99="x",1)+IF($M$90="x",1),
IF(AND($C$3&gt;10,$C$3&lt;16),SUM($C$3,$I$2)-$C$120+IF($C$75="x",2)+$I$16-$B$10+$M$94+IF($C$77="x",2)-IF($C$78="x",4)-IF($I$78="x",1)-IF($C$79="x",4)+IF($C$80="x",1)-IF($I$77="x",2)-IF($I$90="x",2)+IF($I$83="x",2)-IF($C$83="x",4)-$C$112+IF(H275="x",1)+I275+$M$77+IF(H277="x",1)+IF(J277="x",1)+IF($M$76="x",2)+J275+IF($M$85="x",1)+IF($M$113="x",1)+IF($M$120="x",2)+IF($M$119="x",2)+IF($M$105="x",1)+IF($M$110="x",1)+IF($M$111="x",2)+IF($M$112="x",4)+IF($M$108="x",1)-IF($M$109="x",1)+IF($M$99="x",20)-IF($M$99="x",1)+IF($M$90="x",1)
&amp;"/"&amp;SUM($C$3,$I$2)-$C$120+IF($C$75="x",2)+$I$16-$B$10+$M$94+IF($C$77="x",2)-IF($C$78="x",4)-IF($I$78="x",1)-IF($C$79="x",4)+IF($C$80="x",1)-IF($I$77="x",2)-IF($I$90="x",2)+IF($I$83="x",2)-IF($C$83="x",4)-$C$112-5+IF(H667="x",1)+IF(H275="x",1)+I275+$M$77+IF(H277="x",1)+IF(J277="x",1)+IF($M$76="x",2)+J275+IF($M$85="x",1)+IF($M$113="x",1)+IF($M$120="x",2)+IF($M$119="x",2)+IF($M$105="x",1)+IF($M$110="x",1)+IF($M$111="x",2)+IF($M$112="x",4)+IF($M$108="x",1)-IF($M$109="x",1)-IF($M$99="x",1)+IF($M$90="x",1)
&amp;"/"&amp;SUM($C$3,$I$2)-$C$120+IF($C$75="x",2)+$I$16-$B$10+$M$94+IF($C$77="x",2)-IF($C$78="x",4)-IF($I$78="x",1)-IF($C$79="x",4)+IF($C$80="x",1)-IF($I$77="x",2)-IF($I$90="x",2)+IF($I$83="x",2)-IF($C$83="x",4)-$C$112-10+IF(H667="x",1)+IF(H275="x",1)+I275+$M$77+IF(H277="x",1)+IF(J277="x",1)+IF($M$76="x",2)+J275+IF($M$85="x",1)+IF($M$113="x",1)+IF($M$120="x",2)+IF($M$119="x",2)+IF($M$105="x",1)+IF($M$110="x",1)+IF($M$111="x",2)+IF($M$112="x",4)+IF($M$108="x",1)-IF($M$109="x",1)-IF($M$99="x",1)+IF($M$90="x",1),
IF(AND($C$3&gt;15),SUM($C$3,$I$2)-$C$120+IF($C$75="x",2)+$I$16-$B$10+$M$94+IF($C$77="x",2)-IF($C$78="x",4)-IF($I$78="x",1)-IF($C$79="x",4)+IF($C$80="x",1)-IF($I$77="x",2)-IF($I$90="x",2)+IF($I$83="x",2)-IF($C$83="x",4)-$C$112+IF(H275="x",1)+I275+$M$77+IF(H277="x",1)+IF(J277="x",1)+IF($M$76="x",2)+J275+IF($M$85="x",1)+IF($M$113="x",1)+IF($M$120="x",2)+IF($M$119="x",2)+IF($M$105="x",1)+IF($M$110="x",1)+IF($M$111="x",2)+IF($M$112="x",4)+IF($M$108="x",1)-IF($M$109="x",1)-IF($M$99="x",1)+IF($M$90="x",1)
&amp;"/"&amp;SUM($C$3,$I$2)-$C$120+IF($C$75="x",2)+$I$16-$B$10+$M$94+IF($C$77="x",2)-IF($C$78="x",4)-IF($I$78="x",1)-IF($C$79="x",4)+IF($C$80="x",1)-IF($I$77="x",2)-IF($I$90="x",2)+IF($I$83="x",2)-IF($C$83="x",4)-$C$112-5+IF(H667="x",1)+IF(H275="x",1)+I275+$M$77+IF(H277="x",1)+IF(J277="x",1)+IF($M$76="x",2)+J275+IF($M$85="x",1)+IF($M$113="x",1)+IF($M$120="x",2)+IF($M$119="x",2)+IF($M$105="x",1)+IF($M$110="x",1)+IF($M$111="x",2)+IF($M$112="x",4)+IF($M$108="x",1)-IF($M$109="x",1)-IF($M$99="x",1)+IF($M$90="x",1)
&amp;"/"&amp;SUM($C$3,$I$2)-$C$120+IF($C$75="x",2)+$I$16-$B$10+$M$94+IF($C$77="x",2)-IF($C$78="x",4)-IF($I$78="x",1)-IF($C$79="x",4)+IF($C$80="x",1)-IF($I$77="x",2)-IF($I$90="x",2)+IF($I$83="x",2)-IF($C$83="x",4)-$C$112-10+IF(H667="x",1)+IF(H275="x",1)+I275+$M$77+IF(H277="x",1)+IF(J277="x",1)+IF($M$76="x",2)+J275+IF($M$85="x",1)+IF($M$113="x",1)+IF($M$120="x",2)+IF($M$119="x",2)+IF($M$105="x",1)+IF($M$110="x",1)+IF($M$111="x",2)+IF($M$112="x",4)+IF($M$108="x",1)-IF($M$109="x",1)-IF($M$99="x",1)+IF($M$90="x",1)
&amp;"/"&amp;SUM($C$3,$I$2)-$C$120+IF($C$75="x",2)+$I$16-$B$10+$M$94+IF($C$77="x",2)-IF($C$78="x",4)-IF($I$78="x",1)-IF($C$79="x",4)+IF($C$80="x",1)-IF($I$77="x",2)-IF($I$90="x",2)+IF($I$83="x",2)-IF($C$83="x",4)-$C$112-15+IF(H667="x",1)+IF(H275="x",1)+I275+$M$77+IF(H277="x",1)+IF(J277="x",1)+IF($M$76="x",2)+J275+IF($M$85="x",1)+IF($M$113="x",1)+IF($M$120="x",2)+IF($M$119="x",2)+IF($M$105="x",1)+IF($M$110="x",1)+IF($M$111="x",2)+IF($M$112="x",4)+IF($M$108="x",1)-IF($M$109="x",1)-IF($M$99="x",1)+IF($M$90="x",1))))))</f>
        <v>0</v>
      </c>
      <c r="C276" s="114" t="str">
        <f>_xlfn.IFS($C$7="Minimaalinen","1n3",$C$7="Taskukokoinen","1n4",$C$7="Hyvin pieni","1n6",$C$7="Pieni","1n8",$C$7="Keskikokoinen","1n10",$C$7="Iso","2n8",$C$7="Valtava","3n8",$C$7="Suunnaton","4n8",$C$7="Giganttinen","6n8")</f>
        <v>1n10</v>
      </c>
      <c r="D276" s="119">
        <f>IF($I$2&lt;0,$I$2,INT($I$2*1.5))+($C$120*2)+I275+$M$77+IF(I277="x",2)+IF(K277="x",2)+IF($M$119="x",2)+IF($M$108="x",1)+$M$94-IF($M$109="x",1)+K275</f>
        <v>0</v>
      </c>
      <c r="E276" s="114" t="str">
        <f>_xlfn.IFS($C$7="Minimaalinen","3n3",$C$7="Taskukokoinen","3n4",$C$7="Hyvin pieni","3n6",$C$7="Pieni","3n8",$C$7="Keskikokoinen","3n10",$C$7="Iso","6n8",$C$7="Valtava","9n8",$C$7="Suunnaton","12n8",$C$7="Giganttinen","18n8")</f>
        <v>3n10</v>
      </c>
      <c r="F276" s="120">
        <f>SUM(D276*3)</f>
        <v>0</v>
      </c>
      <c r="G276" s="120" t="str">
        <f>(IF($I$89="x","50 %","")&amp;(IF($C$81="x","20 %",""))&amp;(IF($C$82="x","50 %","")))</f>
        <v/>
      </c>
      <c r="H276" s="14" t="s">
        <v>220</v>
      </c>
      <c r="I276" s="14" t="s">
        <v>221</v>
      </c>
      <c r="J276" s="14" t="s">
        <v>222</v>
      </c>
      <c r="K276" s="14" t="s">
        <v>223</v>
      </c>
      <c r="AB276" s="47"/>
      <c r="AC276" s="113"/>
      <c r="AD276" s="49"/>
      <c r="AE276" s="113"/>
      <c r="AF276" s="49"/>
      <c r="AG276" s="114"/>
      <c r="AH276" s="114"/>
      <c r="AI276" s="48"/>
      <c r="AJ276" s="48"/>
      <c r="AK276" s="48"/>
      <c r="AL276" s="48"/>
    </row>
    <row r="277" spans="1:38" x14ac:dyDescent="0.2">
      <c r="A277" s="25" t="s">
        <v>438</v>
      </c>
      <c r="B277" s="121">
        <f>IF($I$85="x","PAINISSA",IF($C$3&lt;=5,SUM($C$3,$I$2)-$C$120+IF($C$75="x",2)+$I$16-$B$10+$M$94+IF($C$77="x",2)-IF($C$78="x",4)-IF($I$78="x",1)-IF($C$79="x",4)+IF($C$80="x",1)-IF($I$77="x",2)-IF($I$90="x",2)+IF($I$83="x",2)-IF($C$75="x",4)-$C$112+IF(H275="x",1)+I275+$M$77+IF(H277="x",1)+IF(J277="x",1)+IF($M$76="x",2)+J275+IF($M$85="x",1)+IF($M$113="x",1)+IF($M$120="x",2)+IF($M$119="x",2)+IF($M$105="x",1)+IF($M$110="x",1)+IF($M$111="x",2)+IF($M$112="x",4)+IF($M$108="x",1)-IF($M$109="x",1)-IF($M$99="x",1)+IF($M$90="x",1)-IF($C$97="x",2,4),
IF(AND($C$3&gt;5,$C$3&lt;11),SUM($C$3,$I$2)-$C$120+IF($C$75="x",2)+$I$16-$B$10+$M$94+IF($C$77="x",2)-IF($C$78="x",4)-IF($I$78="x",1)-IF($C$79="x",4)+IF($C$80="x",1)-IF($I$77="x",2)-IF($I$90="x",2)+IF($I$83="x",2)-IF($C$83="x",4)-$C$112+IF(H275="x",1)+I275+$M$77+IF(H277="x",1)+IF(J277="x",1)+IF($M$76="x",2)+J275+IF($M$85="x",1)+IF($M$113="x",1)+IF($M$120="x",2)+IF($M$119="x",2)+IF($M$105="x",1)+IF($M$110="x",1)+IF($M$111="x",2)+IF($M$112="x",4)+IF($M$108="x",1)-IF($M$109="x",1)-IF($M$99="x",1)+IF($M$90="x",1)-IF($C$97="x",2,4)
&amp;"/"&amp;SUM($C$3,$I$2)-$C$120+IF($C$75="x",2)+$I$16-$B$10+$M$94+IF($C$77="x",2)-IF($C$78="x",4)-IF($I$78="x",1)-IF($C$79="x",4)+IF($C$80="x",1)-IF($I$77="x",2)-IF($I$90="x",2)+IF($I$83="x",2)-IF($C$83="x",4)-$C$112-5+IF(H275="x",1)+I275+$M$77+IF(H277="x",1)+IF(J277="x",1)+IF($M$76="x",2)+J275+IF($M$85="x",1)+IF($M$113="x",1)+IF($M$120="x",2)+IF($M$119="x",2)+IF($M$105="x",1)+IF($M$110="x",1)+IF($M$111="x",2)+IF($M$112="x",4)+IF($M$108="x",1)-IF($M$109="x",1)-IF($M$99="x",1)+IF($M$90="x",1)-IF($C$97="x",2,4),
IF(AND($C$3&gt;10,$C$3&lt;16),SUM($C$3,$I$2)-$C$120+IF($C$75="x",2)+$I$16-$B$10+$M$94+IF($C$77="x",2)-IF($C$78="x",4)-IF($I$78="x",1)-IF($C$79="x",4)+IF($C$80="x",1)-IF($I$77="x",2)-IF($I$90="x",2)+IF($I$83="x",2)-IF($C$83="x",4)-$C$112+IF(H275="x",1)+I275+$M$77+IF(H277="x",1)+IF(J277="x",1)+IF($M$76="x",2)+J275+IF($M$85="x",1)+IF($M$113="x",1)+IF($M$120="x",2)+IF($M$119="x",2)+IF($M$105="x",1)+IF($M$110="x",1)+IF($M$111="x",2)+IF($M$112="x",4)+IF($M$108="x",1)-IF($M$109="x",1)+IF($M$99="x",20)-IF($M$99="x",1)+IF($M$90="x",1)-IF($C$97="x",2,4)
&amp;"/"&amp;SUM($C$3,$I$2)-$C$120+IF($C$75="x",2)+$I$16-$B$10+$M$94+IF($C$77="x",2)-IF($C$78="x",4)-IF($I$78="x",1)-IF($C$79="x",4)+IF($C$80="x",1)-IF($I$77="x",2)-IF($I$90="x",2)+IF($I$83="x",2)-IF($C$83="x",4)-$C$112-5+IF(H667="x",1)+IF(H275="x",1)+I275+$M$77+IF(H277="x",1)+IF(J277="x",1)+IF($M$76="x",2)+J275+IF($M$85="x",1)+IF($M$113="x",1)+IF($M$120="x",2)+IF($M$119="x",2)+IF($M$105="x",1)+IF($M$110="x",1)+IF($M$111="x",2)+IF($M$112="x",4)+IF($M$108="x",1)-IF($M$109="x",1)-IF($M$99="x",1)+IF($M$90="x",1)-IF($C$97="x",2,4)
&amp;"/"&amp;SUM($C$3,$I$2)-$C$120+IF($C$75="x",2)+$I$16-$B$10+$M$94+IF($C$77="x",2)-IF($C$78="x",4)-IF($I$78="x",1)-IF($C$79="x",4)+IF($C$80="x",1)-IF($I$77="x",2)-IF($I$90="x",2)+IF($I$83="x",2)-IF($C$83="x",4)-$C$112-10+IF(H667="x",1)+IF(H275="x",1)+I275+$M$77+IF(H277="x",1)+IF(J277="x",1)+IF($M$76="x",2)+J275+IF($M$85="x",1)+IF($M$113="x",1)+IF($M$120="x",2)+IF($M$119="x",2)+IF($M$105="x",1)+IF($M$110="x",1)+IF($M$111="x",2)+IF($M$112="x",4)+IF($M$108="x",1)-IF($M$109="x",1)-IF($M$99="x",1)+IF($M$90="x",1)-IF($C$97="x",2,4),
IF(AND($C$3&gt;15),SUM($C$3,$I$2)-$C$120+IF($C$75="x",2)+$I$16-$B$10+$M$94+IF($C$77="x",2)-IF($C$78="x",4)-IF($I$78="x",1)-IF($C$79="x",4)+IF($C$80="x",1)-IF($I$77="x",2)-IF($I$90="x",2)+IF($I$83="x",2)-IF($C$83="x",4)-$C$112+IF(H275="x",1)+I275+$M$77+IF(H277="x",1)+IF(J277="x",1)+IF($M$76="x",2)+J275+IF($M$85="x",1)+IF($M$113="x",1)+IF($M$120="x",2)+IF($M$119="x",2)+IF($M$105="x",1)+IF($M$110="x",1)+IF($M$111="x",2)+IF($M$112="x",4)+IF($M$108="x",1)-IF($M$109="x",1)-IF($M$99="x",1)+IF($M$90="x",1)-IF($C$97="x",2,4)
&amp;"/"&amp;SUM($C$3,$I$2)-$C$120+IF($C$75="x",2)+$I$16-$B$10+$M$94+IF($C$77="x",2)-IF($C$78="x",4)-IF($I$78="x",1)-IF($C$79="x",4)+IF($C$80="x",1)-IF($I$77="x",2)-IF($I$90="x",2)+IF($I$83="x",2)-IF($C$83="x",4)-$C$112-5+IF(H667="x",1)+IF(H275="x",1)+I275+$M$77+IF(H277="x",1)+IF(J277="x",1)+IF($M$76="x",2)+J275+IF($M$85="x",1)+IF($M$113="x",1)+IF($M$120="x",2)+IF($M$119="x",2)+IF($M$105="x",1)+IF($M$110="x",1)+IF($M$111="x",2)+IF($M$112="x",4)+IF($M$108="x",1)-IF($M$109="x",1)-IF($M$99="x",1)+IF($M$90="x",1)-IF($C$97="x",2,4)
&amp;"/"&amp;SUM($C$3,$I$2)-$C$120+IF($C$75="x",2)+$I$16-$B$10+$M$94+IF($C$77="x",2)-IF($C$78="x",4)-IF($I$78="x",1)-IF($C$79="x",4)+IF($C$80="x",1)-IF($I$77="x",2)-IF($I$90="x",2)+IF($I$83="x",2)-IF($C$83="x",4)-$C$112-10+IF(H667="x",1)+IF(H275="x",1)+I275+$M$77+IF(H277="x",1)+IF(J277="x",1)+IF($M$76="x",2)+J275+IF($M$85="x",1)+IF($M$113="x",1)+IF($M$120="x",2)+IF($M$119="x",2)+IF($M$105="x",1)+IF($M$110="x",1)+IF($M$111="x",2)+IF($M$112="x",4)+IF($M$108="x",1)-IF($M$109="x",1)-IF($M$99="x",1)+IF($M$90="x",1)-IF($C$97="x",2,4)
&amp;"/"&amp;SUM($C$3,$I$2)-$C$120+IF($C$75="x",2)+$I$16-$B$10+$M$94+IF($C$77="x",2)-IF($C$78="x",4)-IF($I$78="x",1)-IF($C$79="x",4)+IF($C$80="x",1)-IF($I$77="x",2)-IF($I$90="x",2)+IF($I$83="x",2)-IF($C$83="x",4)-$C$112-15+IF(H667="x",1)+IF(H275="x",1)+I275+$M$77+IF(H277="x",1)+IF(J277="x",1)+IF($M$76="x",2)+J275+IF($M$85="x",1)+IF($M$113="x",1)+IF($M$120="x",2)+IF($M$119="x",2)+IF($M$105="x",1)+IF($M$110="x",1)+IF($M$111="x",2)+IF($M$112="x",4)+IF($M$108="x",1)-IF($M$109="x",1)-IF($M$99="x",1)+IF($M$90="x",1)-IF($C$97="x",2,4))))))</f>
        <v>-4</v>
      </c>
      <c r="C277" s="49" t="str">
        <f>_xlfn.IFS($C$7="Minimaalinen","1n3",$C$7="Taskukokoinen","1n4",$C$7="Hyvin pieni","1n6",$C$7="Pieni","1n8",$C$7="Keskikokoinen","1n10",$C$7="Iso","2n8",$C$7="Valtava","3n8",$C$7="Suunnaton","4n8",$C$7="Giganttinen","6n8")</f>
        <v>1n10</v>
      </c>
      <c r="D277" s="121">
        <f>SUM($I$2+$C$120)+I275+$M$77+IF(I277="x",2)+IF(K277="x",2)+IF($M$119="x",2)+IF($M$108="x",1)+$M$94-IF($M$109="x",1)+K275</f>
        <v>0</v>
      </c>
      <c r="E277" s="49" t="str">
        <f>_xlfn.IFS($C$7="Minimaalinen","3n3",$C$7="Taskukokoinen","3n4",$C$7="Hyvin pieni","3n6",$C$7="Pieni","3n8",$C$7="Keskikokoinen","3n10",$C$7="Iso","6n8",$C$7="Valtava","9n8",$C$7="Suunnaton","12n8",$C$7="Giganttinen","18n8")</f>
        <v>3n10</v>
      </c>
      <c r="F277" s="98">
        <f>SUM(D277*3)</f>
        <v>0</v>
      </c>
      <c r="G277" s="82" t="str">
        <f>(IF($I$89="x","50 %","")&amp;(IF($C$81="x","20 %",""))&amp;(IF($C$82="x","50 %","")))</f>
        <v/>
      </c>
      <c r="H277" s="28"/>
      <c r="I277" s="28"/>
      <c r="J277" s="28"/>
      <c r="K277" s="28"/>
      <c r="AB277" s="50"/>
      <c r="AC277" s="51"/>
      <c r="AD277" s="49"/>
      <c r="AE277" s="51"/>
      <c r="AF277" s="49"/>
      <c r="AG277" s="49"/>
      <c r="AH277" s="49"/>
      <c r="AI277" s="40"/>
      <c r="AJ277" s="40"/>
      <c r="AK277" s="40"/>
      <c r="AL277" s="40"/>
    </row>
    <row r="278" spans="1:38" x14ac:dyDescent="0.2">
      <c r="A278" s="25" t="s">
        <v>437</v>
      </c>
      <c r="B278" s="82">
        <f>IF($I$85="x","PAINISSA",IF($C$3&lt;=5,SUM($C$3,$I$2)-$C$120+IF($C$75="x",2)+$I$16-$B$10+$M$94+IF($C$77="x",2)-IF($C$78="x",4)-IF($I$78="x",1)-IF($C$79="x",4)+IF($C$80="x",1)-IF($I$77="x",2)-IF($I$90="x",2)+IF($I$83="x",2)-IF($C$75="x",4)-$C$112+IF(H275="x",1)+I275+$M$77+IF(H277="x",1)+IF(J277="x",1)+IF($M$76="x",2)+J275+IF($M$85="x",1)+IF($M$113="x",1)+IF($M$120="x",2)+IF($M$119="x",2)+IF($M$105="x",1)+IF($M$110="x",1)+IF($M$111="x",2)+IF($M$112="x",4)+IF($M$108="x",1)-IF($M$109="x",1)-IF($M$99="x",1)+IF($M$90="x",1)-IF($C$97="x",4,6),
IF(AND($C$3&gt;5,$C$3&lt;11),SUM($C$3,$I$2)-$C$120+IF($C$75="x",2)+$I$16-$B$10+$M$94+IF($C$77="x",2)-IF($C$78="x",4)-IF($I$78="x",1)-IF($C$79="x",4)+IF($C$80="x",1)-IF($I$77="x",2)-IF($I$90="x",2)+IF($I$83="x",2)-IF($C$83="x",4)-$C$112+IF(H275="x",1)+I275+$M$77+IF(H277="x",1)+IF(J277="x",1)+IF($M$76="x",2)+J275+IF($M$85="x",1)+IF($M$113="x",1)+IF($M$120="x",2)+IF($M$119="x",2)+IF($M$105="x",1)+IF($M$110="x",1)+IF($M$111="x",2)+IF($M$112="x",4)+IF($M$108="x",1)-IF($M$109="x",1)-IF($M$99="x",1)+IF($M$90="x",1)-IF($C$97="x",4,6)
&amp;"/"&amp;SUM($C$3,$I$2)-$C$120+IF($C$75="x",2)+$I$16-$B$10+$M$94+IF($C$77="x",2)-IF($C$78="x",4)-IF($I$78="x",1)-IF($C$79="x",4)+IF($C$80="x",1)-IF($I$77="x",2)-IF($I$90="x",2)+IF($I$83="x",2)-IF($C$83="x",4)-$C$112-5+IF(H275="x",1)+I275+$M$77+IF(H277="x",1)+IF(J277="x",1)+IF($M$76="x",2)+J275+IF($M$85="x",1)+IF($M$113="x",1)+IF($M$120="x",2)+IF($M$119="x",2)+IF($M$105="x",1)+IF($M$110="x",1)+IF($M$111="x",2)+IF($M$112="x",4)+IF($M$108="x",1)-IF($M$109="x",1)-IF($M$99="x",1)+IF($M$90="x",1)-IF($C$97="x",4,6),
IF(AND($C$3&gt;10,$C$3&lt;16),SUM($C$3,$I$2)-$C$120+IF($C$75="x",2)+$I$16-$B$10+$M$94+IF($C$77="x",2)-IF($C$78="x",4)-IF($I$78="x",1)-IF($C$79="x",4)+IF($C$80="x",1)-IF($I$77="x",2)-IF($I$90="x",2)+IF($I$83="x",2)-IF($C$83="x",4)-$C$112+IF(H275="x",1)+I275+$M$77+IF(H277="x",1)+IF(J277="x",1)+IF($M$76="x",2)+J275+IF($M$85="x",1)+IF($M$113="x",1)+IF($M$120="x",2)+IF($M$119="x",2)+IF($M$105="x",1)+IF($M$110="x",1)+IF($M$111="x",2)+IF($M$112="x",4)+IF($M$108="x",1)-IF($M$109="x",1)+IF($M$99="x",20)-IF($M$99="x",1)+IF($M$90="x",1)-IF($C$97="x",4,6)
&amp;"/"&amp;SUM($C$3,$I$2)-$C$120+IF($C$75="x",2)+$I$16-$B$10+$M$94+IF($C$77="x",2)-IF($C$78="x",4)-IF($I$78="x",1)-IF($C$79="x",4)+IF($C$80="x",1)-IF($I$77="x",2)-IF($I$90="x",2)+IF($I$83="x",2)-IF($C$83="x",4)-$C$112-5+IF(H667="x",1)+IF(H275="x",1)+I275+$M$77+IF(H277="x",1)+IF(J277="x",1)+IF($M$76="x",2)+J275+IF($M$85="x",1)+IF($M$113="x",1)+IF($M$120="x",2)+IF($M$119="x",2)+IF($M$105="x",1)+IF($M$110="x",1)+IF($M$111="x",2)+IF($M$112="x",4)+IF($M$108="x",1)-IF($M$109="x",1)-IF($M$99="x",1)+IF($M$90="x",1)-IF($C$97="x",4,6)
&amp;"/"&amp;SUM($C$3,$I$2)-$C$120+IF($C$75="x",2)+$I$16-$B$10+$M$94+IF($C$77="x",2)-IF($C$78="x",4)-IF($I$78="x",1)-IF($C$79="x",4)+IF($C$80="x",1)-IF($I$77="x",2)-IF($I$90="x",2)+IF($I$83="x",2)-IF($C$83="x",4)-$C$112-10+IF(H667="x",1)+IF(H275="x",1)+I275+$M$77+IF(H277="x",1)+IF(J277="x",1)+IF($M$76="x",2)+J275+IF($M$85="x",1)+IF($M$113="x",1)+IF($M$120="x",2)+IF($M$119="x",2)+IF($M$105="x",1)+IF($M$110="x",1)+IF($M$111="x",2)+IF($M$112="x",4)+IF($M$108="x",1)-IF($M$109="x",1)-IF($M$99="x",1)+IF($M$90="x",1)-IF($C$97="x",4,6),
IF(AND($C$3&gt;15),SUM($C$3,$I$2)-$C$120+IF($C$75="x",2)+$I$16-$B$10+$M$94+IF($C$77="x",2)-IF($C$78="x",4)-IF($I$78="x",1)-IF($C$79="x",4)+IF($C$80="x",1)-IF($I$77="x",2)-IF($I$90="x",2)+IF($I$83="x",2)-IF($C$83="x",4)-$C$112+IF(H275="x",1)+I275+$M$77+IF(H277="x",1)+IF(J277="x",1)+IF($M$76="x",2)+J275+IF($M$85="x",1)+IF($M$113="x",1)+IF($M$120="x",2)+IF($M$119="x",2)+IF($M$105="x",1)+IF($M$110="x",1)+IF($M$111="x",2)+IF($M$112="x",4)+IF($M$108="x",1)-IF($M$109="x",1)-IF($M$99="x",1)+IF($M$90="x",1)-IF($C$97="x",4,6)
&amp;"/"&amp;SUM($C$3,$I$2)-$C$120+IF($C$75="x",2)+$I$16-$B$10+$M$94+IF($C$77="x",2)-IF($C$78="x",4)-IF($I$78="x",1)-IF($C$79="x",4)+IF($C$80="x",1)-IF($I$77="x",2)-IF($I$90="x",2)+IF($I$83="x",2)-IF($C$83="x",4)-$C$112-5+IF(H667="x",1)+IF(H275="x",1)+I275+$M$77+IF(H277="x",1)+IF(J277="x",1)+IF($M$76="x",2)+J275+IF($M$85="x",1)+IF($M$113="x",1)+IF($M$120="x",2)+IF($M$119="x",2)+IF($M$105="x",1)+IF($M$110="x",1)+IF($M$111="x",2)+IF($M$112="x",4)+IF($M$108="x",1)-IF($M$109="x",1)-IF($M$99="x",1)+IF($M$90="x",1)-IF($C$97="x",4,6)
&amp;"/"&amp;SUM($C$3,$I$2)-$C$120+IF($C$75="x",2)+$I$16-$B$10+$M$94+IF($C$77="x",2)-IF($C$78="x",4)-IF($I$78="x",1)-IF($C$79="x",4)+IF($C$80="x",1)-IF($I$77="x",2)-IF($I$90="x",2)+IF($I$83="x",2)-IF($C$83="x",4)-$C$112-10+IF(H667="x",1)+IF(H275="x",1)+I275+$M$77+IF(H277="x",1)+IF(J277="x",1)+IF($M$76="x",2)+J275+IF($M$85="x",1)+IF($M$113="x",1)+IF($M$120="x",2)+IF($M$119="x",2)+IF($M$105="x",1)+IF($M$110="x",1)+IF($M$111="x",2)+IF($M$112="x",4)+IF($M$108="x",1)-IF($M$109="x",1)-IF($M$99="x",1)+IF($M$90="x",1)-IF($C$97="x",4,6)
&amp;"/"&amp;SUM($C$3,$I$2)-$C$120+IF($C$75="x",2)+$I$16-$B$10+$M$94+IF($C$77="x",2)-IF($C$78="x",4)-IF($I$78="x",1)-IF($C$79="x",4)+IF($C$80="x",1)-IF($I$77="x",2)-IF($I$90="x",2)+IF($I$83="x",2)-IF($C$83="x",4)-$C$112-15+IF(H667="x",1)+IF(H275="x",1)+I275+$M$77+IF(H277="x",1)+IF(J277="x",1)+IF($M$76="x",2)+J275+IF($M$85="x",1)+IF($M$113="x",1)+IF($M$120="x",2)+IF($M$119="x",2)+IF($M$105="x",1)+IF($M$110="x",1)+IF($M$111="x",2)+IF($M$112="x",4)+IF($M$108="x",1)-IF($M$109="x",1)-IF($M$99="x",1)+IF($M$90="x",1)-IF($C$97="x",4,6))))))</f>
        <v>-6</v>
      </c>
      <c r="C278" s="49" t="str">
        <f>_xlfn.IFS($C$7="Minimaalinen","1n3",$C$7="Taskukokoinen","1n4",$C$7="Hyvin pieni","1n6",$C$7="Pieni","1n8",$C$7="Keskikokoinen","1n10",$C$7="Iso","2n8",$C$7="Valtava","3n8",$C$7="Suunnaton","4n8",$C$7="Giganttinen","6n8")</f>
        <v>1n10</v>
      </c>
      <c r="D278" s="121">
        <f>SUM($I$2+$C$120)+I275+$M$77+IF(I277="x",2)+IF(K277="x",2)+IF($M$119="x",2)+IF($M$108="x",1)+$M$94-IF($M$109="x",1)+K275</f>
        <v>0</v>
      </c>
      <c r="E278" s="49" t="str">
        <f>_xlfn.IFS($C$7="Minimaalinen","3n3",$C$7="Taskukokoinen","3n4",$C$7="Hyvin pieni","3n6",$C$7="Pieni","3n8",$C$7="Keskikokoinen","3n10",$C$7="Iso","6n8",$C$7="Valtava","9n8",$C$7="Suunnaton","12n8",$C$7="Giganttinen","18n8")</f>
        <v>3n10</v>
      </c>
      <c r="F278" s="98">
        <f>SUM(D278*3)</f>
        <v>0</v>
      </c>
      <c r="G278" s="82" t="str">
        <f>(IF($I$89="x","50 %","")&amp;(IF($C$81="x","20 %",""))&amp;(IF($C$82="x","50 %","")))</f>
        <v/>
      </c>
      <c r="H278" s="11"/>
      <c r="I278" s="131"/>
      <c r="J278" s="131"/>
      <c r="K278" s="131"/>
      <c r="AB278" s="50"/>
      <c r="AC278" s="49"/>
      <c r="AD278" s="49"/>
      <c r="AE278" s="51"/>
      <c r="AF278" s="49"/>
      <c r="AG278" s="49"/>
      <c r="AH278" s="49"/>
      <c r="AI278" s="48"/>
    </row>
    <row r="279" spans="1:38" x14ac:dyDescent="0.2">
      <c r="A279" s="122" t="s">
        <v>436</v>
      </c>
      <c r="B279" s="123">
        <f>IF($I$85="x","PAINISSA",IF(AND($C$90="",$C$118=""),SUM($C$3,$I$2)-$C$120+IF($C$75="x",2)+$I$16-$B$10+$M$94+IF($C$77="x",2)-IF($C$78="x",4)-IF($I$78="x",1)-IF($C$79="x",4)+IF($C$80="x",1)-IF($I$77="x",2)-IF($I$90="x",2)+IF($I$83="x",2)-IF($C$75="x",4)-$C$112+IF(H275="x",1)+I275+$M$77+IF(H277="x",1)+IF(J277="x",1)+IF($M$76="x",2)+J275+IF($M$85="x",1)+IF($M$113="x",1)+IF($M$120="x",2)+IF($M$119="x",2)+IF($M$105="x",1)+IF($M$110="x",1)+IF($M$111="x",2)+IF($M$112="x",4)+IF($M$108="x",1)-IF($M$109="x",1)-IF($M$99="x",1)+IF($M$90="x",1)-IF($C$97="x",4,10),
IF(AND($C$90="x",$C$118=""),SUM($C$3,$I$2)-$C$120+IF($C$75="x",2)+$I$16-$B$10+$M$94+IF($C$77="x",2)-IF($C$78="x",4)-IF($I$78="x",1)-IF($C$79="x",4)+IF($C$80="x",1)-IF($I$77="x",2)-IF($I$90="x",2)+IF($I$83="x",2)-IF($C$83="x",4)-$C$112+IF(H275="x",1)+I275+$M$77+IF(H277="x",1)+IF(J277="x",1)+IF($M$76="x",2)+J275+IF($M$85="x",1)+IF($M$113="x",1)+IF($M$120="x",2)+IF($M$119="x",2)+IF($M$105="x",1)+IF($M$110="x",1)+IF($M$111="x",2)+IF($M$112="x",4)+IF($M$108="x",1)-IF($M$109="x",1)-IF($M$99="x",1)+IF($M$90="x",1)-IF($C$97="x",4,10)
&amp;"/"&amp;SUM($C$3,$I$2)-$C$120+IF($C$75="x",2)+$I$16-$B$10+$M$94+IF($C$77="x",2)-IF($C$78="x",4)-IF($I$78="x",1)-IF($C$79="x",4)+IF($C$80="x",1)-IF($I$77="x",2)-IF($I$90="x",2)+IF($I$83="x",2)-IF($C$83="x",4)-$C$112+IF(H275="x",1)+I275+$M$77+IF(H277="x",1)+IF(J277="x",1)+IF($M$76="x",2)+J275+IF($M$85="x",1)+IF($M$113="x",1)+IF($M$120="x",2)+IF($M$119="x",2)+IF($M$105="x",1)+IF($M$110="x",1)+IF($M$111="x",2)+IF($M$112="x",4)+IF($M$108="x",1)-IF($M$109="x",1)-IF($M$99="x",1)+IF($M$90="x",1)-IF($C$97="x",4,10)-5,
IF(AND($C$90="x",$C$118="x"),SUM($C$3,$I$2)-$C$120+IF($C$75="x",2)+$I$16-$B$10+$M$94+IF($C$77="x",2)-IF($C$78="x",4)-IF($I$78="x",1)-IF($C$79="x",4)+IF($C$80="x",1)-IF($I$77="x",2)-IF($I$90="x",2)+IF($I$83="x",2)-IF($C$83="x",4)-$C$112+IF(H275="x",1)+I275+$M$77+IF(H277="x",1)+IF(J277="x",1)+IF($M$76="x",2)+J275+IF($M$85="x",1)+IF($M$113="x",1)+IF($M$120="x",2)+IF($M$119="x",2)+IF($M$105="x",1)+IF($M$110="x",1)+IF($M$111="x",2)+IF($M$112="x",4)+IF($M$108="x",1)-IF($M$109="x",1)+IF($M$99="x",20)-IF($M$99="x",1)+IF($M$90="x",1)-IF($C$97="x",4,10)
&amp;"/"&amp;SUM($C$3,$I$2)-$C$120+IF($C$75="x",2)+$I$16-$B$10+$M$94+IF($C$77="x",2)-IF($C$78="x",4)-IF($I$78="x",1)-IF($C$79="x",4)+IF($C$80="x",1)-IF($I$77="x",2)-IF($I$90="x",2)+IF($I$83="x",2)-IF($C$83="x",4)-$C$112-5+IF(H275="x",1)+I275+$M$77+IF(H277="x",1)+IF(J277="x",1)+IF($M$76="x",2)+J275+IF($M$85="x",1)+IF($M$113="x",1)+IF($M$120="x",2)+IF($M$119="x",2)+IF($M$105="x",1)+IF($M$110="x",1)+IF($M$111="x",2)+IF($M$112="x",4)+IF($M$108="x",1)-IF($M$109="x",1)-IF($M$99="x",1)+IF($M$90="x",1)-IF($C$97="x",4,10)
&amp;"/"&amp;SUM($C$3,$I$2)-$C$120+IF($C$75="x",2)+$I$16-$B$10+$M$94+IF($C$77="x",2)-IF($C$78="x",4)-IF($I$78="x",1)-IF($C$79="x",4)+IF($C$80="x",1)-IF($I$77="x",2)-IF($I$90="x",2)+IF($I$83="x",2)-IF($C$83="x",4)-$C$112-10+IF(H275="x",1)+I275+$M$77+IF(H277="x",1)+IF(J277="x",1)+IF($M$76="x",2)+J275+IF($M$85="x",1)+IF($M$113="x",1)+IF($M$120="x",2)+IF($M$119="x",2)+IF($M$105="x",1)+IF($M$110="x",1)+IF($M$111="x",2)+IF($M$112="x",4)+IF($M$108="x",1)-IF($M$109="x",1)-IF($M$99="x",1)+IF($M$90="x",1)-IF($C$97="x",4,10)))))</f>
        <v>-10</v>
      </c>
      <c r="C279" s="54" t="str">
        <f>_xlfn.IFS($C$7="Minimaalinen","1n3",$C$7="Taskukokoinen","1n4",$C$7="Hyvin pieni","1n6",$C$7="Pieni","1n8",$C$7="Keskikokoinen","1n10",$C$7="Iso","2n8",$C$7="Valtava","3n8",$C$7="Suunnaton","4n8",$C$7="Giganttinen","6n8")</f>
        <v>1n10</v>
      </c>
      <c r="D279" s="123">
        <f>INT($I$2/2)+($C$120)+I275+$M$77+IF(I277="x",2)+IF(K277="x",2)+IF($M$119="x",2)+IF($M$108="x",1)+$M$94+K275-IF($M$109="x",1)</f>
        <v>0</v>
      </c>
      <c r="E279" s="54" t="str">
        <f>_xlfn.IFS($C$7="Minimaalinen","3n3",$C$7="Taskukokoinen","3n4",$C$7="Hyvin pieni","3n6",$C$7="Pieni","3n8",$C$7="Keskikokoinen","3n10",$C$7="Iso","6n8",$C$7="Valtava","9n8",$C$7="Suunnaton","12n8",$C$7="Giganttinen","18n8")</f>
        <v>3n10</v>
      </c>
      <c r="F279" s="98">
        <f>SUM(D279*3)</f>
        <v>0</v>
      </c>
      <c r="G279" s="124" t="str">
        <f>(IF($I$89="x","50 %","")&amp;(IF($C$81="x","20 %",""))&amp;(IF($C$82="x","50 %","")))</f>
        <v/>
      </c>
      <c r="H279" s="40"/>
      <c r="I279" s="138"/>
      <c r="J279" s="131"/>
      <c r="K279" s="135"/>
      <c r="AB279" s="52"/>
      <c r="AC279" s="53"/>
      <c r="AD279" s="54"/>
      <c r="AE279" s="53"/>
      <c r="AF279" s="54"/>
      <c r="AG279" s="54"/>
      <c r="AH279" s="54"/>
      <c r="AI279" s="40"/>
      <c r="AJ279" s="40"/>
      <c r="AL279" s="49"/>
    </row>
    <row r="280" spans="1:38" x14ac:dyDescent="0.2">
      <c r="B280" s="15"/>
      <c r="C280" s="15"/>
      <c r="D280" s="15"/>
      <c r="F280" s="15"/>
      <c r="G280" s="15"/>
      <c r="H280" s="15"/>
      <c r="I280" s="15"/>
    </row>
    <row r="281" spans="1:38" x14ac:dyDescent="0.2">
      <c r="B281" s="15"/>
      <c r="C281" s="15"/>
      <c r="D281" s="15"/>
      <c r="F281" s="15"/>
      <c r="G281" s="15"/>
      <c r="H281" s="15"/>
      <c r="I281" s="15"/>
    </row>
    <row r="282" spans="1:38" x14ac:dyDescent="0.2">
      <c r="A282" s="34" t="s">
        <v>283</v>
      </c>
      <c r="B282" s="130" t="s">
        <v>1</v>
      </c>
      <c r="C282" s="130" t="s">
        <v>2</v>
      </c>
      <c r="D282" s="130" t="s">
        <v>3</v>
      </c>
      <c r="E282" s="130" t="s">
        <v>229</v>
      </c>
      <c r="F282" s="130" t="s">
        <v>3</v>
      </c>
      <c r="G282" s="130" t="s">
        <v>45</v>
      </c>
      <c r="H282" s="14" t="s">
        <v>179</v>
      </c>
      <c r="I282" s="11" t="s">
        <v>242</v>
      </c>
      <c r="J282" s="11" t="s">
        <v>224</v>
      </c>
      <c r="K282" s="11" t="s">
        <v>225</v>
      </c>
      <c r="AB282" s="115"/>
      <c r="AC282" s="116"/>
      <c r="AD282" s="116"/>
      <c r="AE282" s="116"/>
      <c r="AF282" s="116"/>
      <c r="AG282" s="116"/>
      <c r="AH282" s="116"/>
      <c r="AI282" s="116"/>
      <c r="AJ282" s="116"/>
      <c r="AK282" s="116"/>
      <c r="AL282" s="116"/>
    </row>
    <row r="283" spans="1:38" x14ac:dyDescent="0.2">
      <c r="A283" s="131" t="s">
        <v>219</v>
      </c>
      <c r="B283" s="12">
        <f>IF($I$85="x","PAINISSA",IF($C$3&lt;=5,SUM($C$3,$I$2)-$C$120+IF($C$75="x",2)+$I$16-$B$10+$M$94+IF($C$77="x",2)-IF($C$78="x",4)-IF($I$78="x",1)-IF($C$79="x",4)+IF($C$80="x",1)-IF($I$77="x",2)-IF($I$90="x",2)+IF($I$83="x",2)-IF($C$75="x",4)-$C$112+IF(H283="x",1)+I283+$M$77+IF(H285="x",1)+IF(J285="x",1)+IF($M$76="x",2)+J283+IF($M$85="x",1)+IF($M$113="x",1)+IF($M$120="x",2)+IF($M$119="x",2)+IF($M$105="x",1)+IF($M$110="x",1)+IF($M$111="x",2)+IF($M$112="x",4)+IF($M$108="x",1)-IF($M$109="x",1)-IF($M$99="x",1)+IF($M$90="x",1),
IF(AND($C$3&gt;5,$C$3&lt;11),SUM($C$3,$I$2)-$C$120+IF($C$75="x",2)+$I$16-$B$10+$M$94+IF($C$77="x",2)-IF($C$78="x",4)-IF($I$78="x",1)-IF($C$79="x",4)+IF($C$80="x",1)-IF($I$77="x",2)-IF($I$90="x",2)+IF($I$83="x",2)-IF($C$83="x",4)-$C$112+IF(H283="x",1)+I283+$M$77+IF(H285="x",1)+IF(J285="x",1)+IF($M$76="x",2)+J283+IF($M$85="x",1)+IF($M$113="x",1)+IF($M$120="x",2)+IF($M$119="x",2)+IF($M$105="x",1)+IF($M$110="x",1)+IF($M$111="x",2)+IF($M$112="x",4)+IF($M$108="x",1)-IF($M$109="x",1)-IF($M$99="x",1)+IF($M$90="x",1)
&amp;"/"&amp;SUM($C$3,$I$2)-$C$120+IF($C$75="x",2)+$I$16-$B$10+$M$94+IF($C$77="x",2)-IF($C$78="x",4)-IF($I$78="x",1)-IF($C$79="x",4)+IF($C$80="x",1)-IF($I$77="x",2)-IF($I$90="x",2)+IF($I$83="x",2)-IF($C$83="x",4)-$C$112-5+IF(H283="x",1)+I283+$M$77+IF(H285="x",1)+IF(J285="x",1)+IF($M$76="x",2)+J283+IF($M$85="x",1)+IF($M$113="x",1)+IF($M$120="x",2)+IF($M$119="x",2)+IF($M$105="x",1)+IF($M$110="x",1)+IF($M$111="x",2)+IF($M$112="x",4)+IF($M$108="x",1)-IF($M$109="x",1)-IF($M$99="x",1)+IF($M$90="x",1),
IF(AND($C$3&gt;10,$C$3&lt;16),SUM($C$3,$I$2)-$C$120+IF($C$75="x",2)+$I$16-$B$10+$M$94+IF($C$77="x",2)-IF($C$78="x",4)-IF($I$78="x",1)-IF($C$79="x",4)+IF($C$80="x",1)-IF($I$77="x",2)-IF($I$90="x",2)+IF($I$83="x",2)-IF($C$83="x",4)-$C$112+IF(H283="x",1)+I283+$M$77+IF(H285="x",1)+IF(J285="x",1)+IF($M$76="x",2)+J283+IF($M$85="x",1)+IF($M$113="x",1)+IF($M$120="x",2)+IF($M$119="x",2)+IF($M$105="x",1)+IF($M$110="x",1)+IF($M$111="x",2)+IF($M$112="x",4)+IF($M$108="x",1)-IF($M$109="x",1)+IF($M$99="x",20)-IF($M$99="x",1)+IF($M$90="x",1)
&amp;"/"&amp;SUM($C$3,$I$2)-$C$120+IF($C$75="x",2)+$I$16-$B$10+$M$94+IF($C$77="x",2)-IF($C$78="x",4)-IF($I$78="x",1)-IF($C$79="x",4)+IF($C$80="x",1)-IF($I$77="x",2)-IF($I$90="x",2)+IF($I$83="x",2)-IF($C$83="x",4)-$C$112-5+IF(H638="x",1)+IF(H283="x",1)+I283+$M$77+IF(H285="x",1)+IF(J285="x",1)+IF($M$76="x",2)+J283+IF($M$85="x",1)+IF($M$113="x",1)+IF($M$120="x",2)+IF($M$119="x",2)+IF($M$105="x",1)+IF($M$110="x",1)+IF($M$111="x",2)+IF($M$112="x",4)+IF($M$108="x",1)-IF($M$109="x",1)-IF($M$99="x",1)+IF($M$90="x",1)
&amp;"/"&amp;SUM($C$3,$I$2)-$C$120+IF($C$75="x",2)+$I$16-$B$10+$M$94+IF($C$77="x",2)-IF($C$78="x",4)-IF($I$78="x",1)-IF($C$79="x",4)+IF($C$80="x",1)-IF($I$77="x",2)-IF($I$90="x",2)+IF($I$83="x",2)-IF($C$83="x",4)-$C$112-10+IF(H638="x",1)+IF(H283="x",1)+I283+$M$77+IF(H285="x",1)+IF(J285="x",1)+IF($M$76="x",2)+J283+IF($M$85="x",1)+IF($M$113="x",1)+IF($M$120="x",2)+IF($M$119="x",2)+IF($M$105="x",1)+IF($M$110="x",1)+IF($M$111="x",2)+IF($M$112="x",4)+IF($M$108="x",1)-IF($M$109="x",1)-IF($M$99="x",1)+IF($M$90="x",1),
IF(AND($C$3&gt;15),SUM($C$3,$I$2)-$C$120+IF($C$75="x",2)+$I$16-$B$10+$M$94+IF($C$77="x",2)-IF($C$78="x",4)-IF($I$78="x",1)-IF($C$79="x",4)+IF($C$80="x",1)-IF($I$77="x",2)-IF($I$90="x",2)+IF($I$83="x",2)-IF($C$83="x",4)-$C$112+IF(H283="x",1)+I283+$M$77+IF(H285="x",1)+IF(J285="x",1)+IF($M$76="x",2)+J283+IF($M$85="x",1)+IF($M$113="x",1)+IF($M$120="x",2)+IF($M$119="x",2)+IF($M$105="x",1)+IF($M$110="x",1)+IF($M$111="x",2)+IF($M$112="x",4)+IF($M$108="x",1)-IF($M$109="x",1)-IF($M$99="x",1)+IF($M$90="x",1)
&amp;"/"&amp;SUM($C$3,$I$2)-$C$120+IF($C$75="x",2)+$I$16-$B$10+$M$94+IF($C$77="x",2)-IF($C$78="x",4)-IF($I$78="x",1)-IF($C$79="x",4)+IF($C$80="x",1)-IF($I$77="x",2)-IF($I$90="x",2)+IF($I$83="x",2)-IF($C$83="x",4)-$C$112-5+IF(H638="x",1)+IF(H283="x",1)+I283+$M$77+IF(H285="x",1)+IF(J285="x",1)+IF($M$76="x",2)+J283+IF($M$85="x",1)+IF($M$113="x",1)+IF($M$120="x",2)+IF($M$119="x",2)+IF($M$105="x",1)+IF($M$110="x",1)+IF($M$111="x",2)+IF($M$112="x",4)+IF($M$108="x",1)-IF($M$109="x",1)-IF($M$99="x",1)+IF($M$90="x",1)
&amp;"/"&amp;SUM($C$3,$I$2)-$C$120+IF($C$75="x",2)+$I$16-$B$10+$M$94+IF($C$77="x",2)-IF($C$78="x",4)-IF($I$78="x",1)-IF($C$79="x",4)+IF($C$80="x",1)-IF($I$77="x",2)-IF($I$90="x",2)+IF($I$83="x",2)-IF($C$83="x",4)-$C$112-10+IF(H638="x",1)+IF(H283="x",1)+I283+$M$77+IF(H285="x",1)+IF(J285="x",1)+IF($M$76="x",2)+J283+IF($M$85="x",1)+IF($M$113="x",1)+IF($M$120="x",2)+IF($M$119="x",2)+IF($M$105="x",1)+IF($M$110="x",1)+IF($M$111="x",2)+IF($M$112="x",4)+IF($M$108="x",1)-IF($M$109="x",1)-IF($M$99="x",1)+IF($M$90="x",1)
&amp;"/"&amp;SUM($C$3,$I$2)-$C$120+IF($C$75="x",2)+$I$16-$B$10+$M$94+IF($C$77="x",2)-IF($C$78="x",4)-IF($I$78="x",1)-IF($C$79="x",4)+IF($C$80="x",1)-IF($I$77="x",2)-IF($I$90="x",2)+IF($I$83="x",2)-IF($C$83="x",4)-$C$112-15+IF(H638="x",1)+IF(H283="x",1)+I283+$M$77+IF(H285="x",1)+IF(J285="x",1)+IF($M$76="x",2)+J283+IF($M$85="x",1)+IF($M$113="x",1)+IF($M$120="x",2)+IF($M$119="x",2)+IF($M$105="x",1)+IF($M$110="x",1)+IF($M$111="x",2)+IF($M$112="x",4)+IF($M$108="x",1)-IF($M$109="x",1)-IF($M$99="x",1)+IF($M$90="x",1))))))</f>
        <v>0</v>
      </c>
      <c r="C283" s="49" t="str">
        <f>_xlfn.IFS($C$7="Minimaalinen","1",$C$7="Taskukokoinen","1n2",$C$7="Hyvin pieni","1n3",$C$7="Pieni","1n4",$C$7="Keskikokoinen","1n6",$C$7="Iso","1n8",$C$7="Valtava","2n6",$C$7="Suunnaton","3n6",$C$7="Giganttinen","4n6")</f>
        <v>1n6</v>
      </c>
      <c r="D283" s="132">
        <f>SUM($I$2+$C$120)+I283+$M$77+IF(I285="x",2)+IF(K285="x",2)+IF($M$119="x",2)+IF($M$108="x",1)+$M$94-IF($M$109="x",1)+K283</f>
        <v>0</v>
      </c>
      <c r="E283" s="49" t="str">
        <f>_xlfn.IFS($C$7="Minimaalinen","2",$C$7="Taskukokoinen","2n2",$C$7="Hyvin pieni","2n3",$C$7="Pieni","2n4",$C$7="Keskikokoinen","2n6",$C$7="Iso","2n8",$C$7="Valtava","4n6",$C$7="Suunnaton","6n6",$C$7="Giganttinen","8n6")</f>
        <v>2n6</v>
      </c>
      <c r="F283" s="12">
        <f>SUM(D283*2)</f>
        <v>0</v>
      </c>
      <c r="G283" s="12" t="str">
        <f>(IF($I$89="x","50 %","")&amp;(IF($C$81="x","20 %",""))&amp;(IF($C$82="x","50 %","")))</f>
        <v/>
      </c>
      <c r="H283" s="28"/>
      <c r="I283" s="17">
        <v>0</v>
      </c>
      <c r="J283" s="17">
        <v>0</v>
      </c>
      <c r="K283" s="17">
        <v>0</v>
      </c>
      <c r="AC283" s="40"/>
      <c r="AD283" s="49"/>
      <c r="AE283" s="41"/>
      <c r="AF283" s="49"/>
      <c r="AG283" s="40"/>
      <c r="AH283" s="40"/>
      <c r="AI283" s="40"/>
      <c r="AJ283" s="40"/>
      <c r="AK283" s="40"/>
      <c r="AL283" s="40"/>
    </row>
    <row r="284" spans="1:38" x14ac:dyDescent="0.2">
      <c r="A284" s="58" t="s">
        <v>8</v>
      </c>
      <c r="B284" s="119">
        <f>IF($I$85="x","PAINISSA",IF($C$3&lt;=5,SUM($C$3,$I$2)-$C$120+IF($C$75="x",2)+$I$16-$B$10+$M$94+IF($C$77="x",2)-IF($C$78="x",4)-IF($I$78="x",1)-IF($C$79="x",4)+IF($C$80="x",1)-IF($I$77="x",2)-IF($I$90="x",2)+IF($I$83="x",2)-IF($C$75="x",4)-$C$112+IF(H283="x",1)+I283+$M$77+IF(H285="x",1)+IF(J285="x",1)+IF($M$76="x",2)+J283+IF($M$85="x",1)+IF($M$113="x",1)+IF($M$120="x",2)+IF($M$119="x",2)+IF($M$105="x",1)+IF($M$110="x",1)+IF($M$111="x",2)+IF($M$112="x",4)+IF($M$108="x",1)-IF($M$109="x",1)-IF($M$99="x",1)+IF($M$90="x",1),
IF(AND($C$3&gt;5,$C$3&lt;11),SUM($C$3,$I$2)-$C$120+IF($C$75="x",2)+$I$16-$B$10+$M$94+IF($C$77="x",2)-IF($C$78="x",4)-IF($I$78="x",1)-IF($C$79="x",4)+IF($C$80="x",1)-IF($I$77="x",2)-IF($I$90="x",2)+IF($I$83="x",2)-IF($C$83="x",4)-$C$112+IF(H283="x",1)+I283+$M$77+IF(H285="x",1)+IF(J285="x",1)+IF($M$76="x",2)+J283+IF($M$85="x",1)+IF($M$113="x",1)+IF($M$120="x",2)+IF($M$119="x",2)+IF($M$105="x",1)+IF($M$110="x",1)+IF($M$111="x",2)+IF($M$112="x",4)+IF($M$108="x",1)-IF($M$109="x",1)-IF($M$99="x",1)+IF($M$90="x",1)
&amp;"/"&amp;SUM($C$3,$I$2)-$C$120+IF($C$75="x",2)+$I$16-$B$10+$M$94+IF($C$77="x",2)-IF($C$78="x",4)-IF($I$78="x",1)-IF($C$79="x",4)+IF($C$80="x",1)-IF($I$77="x",2)-IF($I$90="x",2)+IF($I$83="x",2)-IF($C$83="x",4)-$C$112-5+IF(H283="x",1)+I283+$M$77+IF(H285="x",1)+IF(J285="x",1)+IF($M$76="x",2)+J283+IF($M$85="x",1)+IF($M$113="x",1)+IF($M$120="x",2)+IF($M$119="x",2)+IF($M$105="x",1)+IF($M$110="x",1)+IF($M$111="x",2)+IF($M$112="x",4)+IF($M$108="x",1)-IF($M$109="x",1)-IF($M$99="x",1)+IF($M$90="x",1),
IF(AND($C$3&gt;10,$C$3&lt;16),SUM($C$3,$I$2)-$C$120+IF($C$75="x",2)+$I$16-$B$10+$M$94+IF($C$77="x",2)-IF($C$78="x",4)-IF($I$78="x",1)-IF($C$79="x",4)+IF($C$80="x",1)-IF($I$77="x",2)-IF($I$90="x",2)+IF($I$83="x",2)-IF($C$83="x",4)-$C$112+IF(H283="x",1)+I283+$M$77+IF(H285="x",1)+IF(J285="x",1)+IF($M$76="x",2)+J283+IF($M$85="x",1)+IF($M$113="x",1)+IF($M$120="x",2)+IF($M$119="x",2)+IF($M$105="x",1)+IF($M$110="x",1)+IF($M$111="x",2)+IF($M$112="x",4)+IF($M$108="x",1)-IF($M$109="x",1)+IF($M$99="x",20)-IF($M$99="x",1)+IF($M$90="x",1)
&amp;"/"&amp;SUM($C$3,$I$2)-$C$120+IF($C$75="x",2)+$I$16-$B$10+$M$94+IF($C$77="x",2)-IF($C$78="x",4)-IF($I$78="x",1)-IF($C$79="x",4)+IF($C$80="x",1)-IF($I$77="x",2)-IF($I$90="x",2)+IF($I$83="x",2)-IF($C$83="x",4)-$C$112-5+IF(H638="x",1)+IF(H283="x",1)+I283+$M$77+IF(H285="x",1)+IF(J285="x",1)+IF($M$76="x",2)+J283+IF($M$85="x",1)+IF($M$113="x",1)+IF($M$120="x",2)+IF($M$119="x",2)+IF($M$105="x",1)+IF($M$110="x",1)+IF($M$111="x",2)+IF($M$112="x",4)+IF($M$108="x",1)-IF($M$109="x",1)-IF($M$99="x",1)+IF($M$90="x",1)
&amp;"/"&amp;SUM($C$3,$I$2)-$C$120+IF($C$75="x",2)+$I$16-$B$10+$M$94+IF($C$77="x",2)-IF($C$78="x",4)-IF($I$78="x",1)-IF($C$79="x",4)+IF($C$80="x",1)-IF($I$77="x",2)-IF($I$90="x",2)+IF($I$83="x",2)-IF($C$83="x",4)-$C$112-10+IF(H638="x",1)+IF(H283="x",1)+I283+$M$77+IF(H285="x",1)+IF(J285="x",1)+IF($M$76="x",2)+J283+IF($M$85="x",1)+IF($M$113="x",1)+IF($M$120="x",2)+IF($M$119="x",2)+IF($M$105="x",1)+IF($M$110="x",1)+IF($M$111="x",2)+IF($M$112="x",4)+IF($M$108="x",1)-IF($M$109="x",1)-IF($M$99="x",1)+IF($M$90="x",1),
IF(AND($C$3&gt;15),SUM($C$3,$I$2)-$C$120+IF($C$75="x",2)+$I$16-$B$10+$M$94+IF($C$77="x",2)-IF($C$78="x",4)-IF($I$78="x",1)-IF($C$79="x",4)+IF($C$80="x",1)-IF($I$77="x",2)-IF($I$90="x",2)+IF($I$83="x",2)-IF($C$83="x",4)-$C$112+IF(H283="x",1)+I283+$M$77+IF(H285="x",1)+IF(J285="x",1)+IF($M$76="x",2)+J283+IF($M$85="x",1)+IF($M$113="x",1)+IF($M$120="x",2)+IF($M$119="x",2)+IF($M$105="x",1)+IF($M$110="x",1)+IF($M$111="x",2)+IF($M$112="x",4)+IF($M$108="x",1)-IF($M$109="x",1)-IF($M$99="x",1)+IF($M$90="x",1)
&amp;"/"&amp;SUM($C$3,$I$2)-$C$120+IF($C$75="x",2)+$I$16-$B$10+$M$94+IF($C$77="x",2)-IF($C$78="x",4)-IF($I$78="x",1)-IF($C$79="x",4)+IF($C$80="x",1)-IF($I$77="x",2)-IF($I$90="x",2)+IF($I$83="x",2)-IF($C$83="x",4)-$C$112-5+IF(H638="x",1)+IF(H283="x",1)+I283+$M$77+IF(H285="x",1)+IF(J285="x",1)+IF($M$76="x",2)+J283+IF($M$85="x",1)+IF($M$113="x",1)+IF($M$120="x",2)+IF($M$119="x",2)+IF($M$105="x",1)+IF($M$110="x",1)+IF($M$111="x",2)+IF($M$112="x",4)+IF($M$108="x",1)-IF($M$109="x",1)-IF($M$99="x",1)+IF($M$90="x",1)
&amp;"/"&amp;SUM($C$3,$I$2)-$C$120+IF($C$75="x",2)+$I$16-$B$10+$M$94+IF($C$77="x",2)-IF($C$78="x",4)-IF($I$78="x",1)-IF($C$79="x",4)+IF($C$80="x",1)-IF($I$77="x",2)-IF($I$90="x",2)+IF($I$83="x",2)-IF($C$83="x",4)-$C$112-10+IF(H638="x",1)+IF(H283="x",1)+I283+$M$77+IF(H285="x",1)+IF(J285="x",1)+IF($M$76="x",2)+J283+IF($M$85="x",1)+IF($M$113="x",1)+IF($M$120="x",2)+IF($M$119="x",2)+IF($M$105="x",1)+IF($M$110="x",1)+IF($M$111="x",2)+IF($M$112="x",4)+IF($M$108="x",1)-IF($M$109="x",1)-IF($M$99="x",1)+IF($M$90="x",1)
&amp;"/"&amp;SUM($C$3,$I$2)-$C$120+IF($C$75="x",2)+$I$16-$B$10+$M$94+IF($C$77="x",2)-IF($C$78="x",4)-IF($I$78="x",1)-IF($C$79="x",4)+IF($C$80="x",1)-IF($I$77="x",2)-IF($I$90="x",2)+IF($I$83="x",2)-IF($C$83="x",4)-$C$112-15+IF(H638="x",1)+IF(H283="x",1)+I283+$M$77+IF(H285="x",1)+IF(J285="x",1)+IF($M$76="x",2)+J283+IF($M$85="x",1)+IF($M$113="x",1)+IF($M$120="x",2)+IF($M$119="x",2)+IF($M$105="x",1)+IF($M$110="x",1)+IF($M$111="x",2)+IF($M$112="x",4)+IF($M$108="x",1)-IF($M$109="x",1)-IF($M$99="x",1)+IF($M$90="x",1))))))</f>
        <v>0</v>
      </c>
      <c r="C284" s="114" t="str">
        <f>_xlfn.IFS($C$7="Minimaalinen","1",$C$7="Taskukokoinen","1n2",$C$7="Hyvin pieni","1n3",$C$7="Pieni","1n4",$C$7="Keskikokoinen","1n6",$C$7="Iso","1n8",$C$7="Valtava","2n6",$C$7="Suunnaton","3n6",$C$7="Giganttinen","4n6")</f>
        <v>1n6</v>
      </c>
      <c r="D284" s="119">
        <f>IF($I$2&lt;0,$I$2,INT($I$2*1.5))+($C$120*2)+I283+$M$77+IF(I285="x",2)+IF(K285="x",2)+IF($M$119="x",2)+IF($M$108="x",1)+$M$94-IF($M$109="x",1)+K283</f>
        <v>0</v>
      </c>
      <c r="E284" s="114" t="str">
        <f>_xlfn.IFS($C$7="Minimaalinen","2",$C$7="Taskukokoinen","2n2",$C$7="Hyvin pieni","2n3",$C$7="Pieni","2n4",$C$7="Keskikokoinen","2n6",$C$7="Iso","2n8",$C$7="Valtava","4n6",$C$7="Suunnaton","6n6",$C$7="Giganttinen","8n6")</f>
        <v>2n6</v>
      </c>
      <c r="F284" s="120">
        <f>SUM(D284*2)</f>
        <v>0</v>
      </c>
      <c r="G284" s="120" t="str">
        <f>(IF($I$89="x","50 %","")&amp;(IF($C$81="x","20 %",""))&amp;(IF($C$82="x","50 %","")))</f>
        <v/>
      </c>
      <c r="H284" s="14" t="s">
        <v>220</v>
      </c>
      <c r="I284" s="14" t="s">
        <v>221</v>
      </c>
      <c r="J284" s="14" t="s">
        <v>222</v>
      </c>
      <c r="K284" s="14" t="s">
        <v>223</v>
      </c>
      <c r="AB284" s="47"/>
      <c r="AC284" s="113"/>
      <c r="AD284" s="114"/>
      <c r="AE284" s="113"/>
      <c r="AF284" s="114"/>
      <c r="AG284" s="114"/>
      <c r="AH284" s="114"/>
      <c r="AI284" s="48"/>
      <c r="AJ284" s="48"/>
      <c r="AK284" s="48"/>
      <c r="AL284" s="48"/>
    </row>
    <row r="285" spans="1:38" x14ac:dyDescent="0.2">
      <c r="A285" s="133" t="s">
        <v>438</v>
      </c>
      <c r="B285" s="121">
        <f>IF($I$85="x","PAINISSA",IF($C$3&lt;=5,SUM($C$3,$I$2)-$C$120+IF($C$75="x",2)+$I$16-$B$10+$M$94+IF($C$77="x",2)-IF($C$78="x",4)-IF($I$78="x",1)-IF($C$79="x",4)+IF($C$80="x",1)-IF($I$77="x",2)-IF($I$90="x",2)+IF($I$83="x",2)-IF($C$75="x",4)-$C$112+IF(H283="x",1)+I283+$M$77+IF(H285="x",1)+IF(J285="x",1)+IF($M$76="x",2)+J283+IF($M$85="x",1)+IF($M$113="x",1)+IF($M$120="x",2)+IF($M$119="x",2)+IF($M$105="x",1)+IF($M$110="x",1)+IF($M$111="x",2)+IF($M$112="x",4)+IF($M$108="x",1)-IF($M$109="x",1)-IF($M$99="x",1)+IF($M$90="x",1)-IF($C$97="x",2,4),
IF(AND($C$3&gt;5,$C$3&lt;11),SUM($C$3,$I$2)-$C$120+IF($C$75="x",2)+$I$16-$B$10+$M$94+IF($C$77="x",2)-IF($C$78="x",4)-IF($I$78="x",1)-IF($C$79="x",4)+IF($C$80="x",1)-IF($I$77="x",2)-IF($I$90="x",2)+IF($I$83="x",2)-IF($C$83="x",4)-$C$112+IF(H283="x",1)+I283+$M$77+IF(H285="x",1)+IF(J285="x",1)+IF($M$76="x",2)+J283+IF($M$85="x",1)+IF($M$113="x",1)+IF($M$120="x",2)+IF($M$119="x",2)+IF($M$105="x",1)+IF($M$110="x",1)+IF($M$111="x",2)+IF($M$112="x",4)+IF($M$108="x",1)-IF($M$109="x",1)-IF($M$99="x",1)+IF($M$90="x",1)-IF($C$97="x",2,4)
&amp;"/"&amp;SUM($C$3,$I$2)-$C$120+IF($C$75="x",2)+$I$16-$B$10+$M$94+IF($C$77="x",2)-IF($C$78="x",4)-IF($I$78="x",1)-IF($C$79="x",4)+IF($C$80="x",1)-IF($I$77="x",2)-IF($I$90="x",2)+IF($I$83="x",2)-IF($C$83="x",4)-$C$112-5+IF(H283="x",1)+I283+$M$77+IF(H285="x",1)+IF(J285="x",1)+IF($M$76="x",2)+J283+IF($M$85="x",1)+IF($M$113="x",1)+IF($M$120="x",2)+IF($M$119="x",2)+IF($M$105="x",1)+IF($M$110="x",1)+IF($M$111="x",2)+IF($M$112="x",4)+IF($M$108="x",1)-IF($M$109="x",1)-IF($M$99="x",1)+IF($M$90="x",1)-IF($C$97="x",2,4),
IF(AND($C$3&gt;10,$C$3&lt;16),SUM($C$3,$I$2)-$C$120+IF($C$75="x",2)+$I$16-$B$10+$M$94+IF($C$77="x",2)-IF($C$78="x",4)-IF($I$78="x",1)-IF($C$79="x",4)+IF($C$80="x",1)-IF($I$77="x",2)-IF($I$90="x",2)+IF($I$83="x",2)-IF($C$83="x",4)-$C$112+IF(H283="x",1)+I283+$M$77+IF(H285="x",1)+IF(J285="x",1)+IF($M$76="x",2)+J283+IF($M$85="x",1)+IF($M$113="x",1)+IF($M$120="x",2)+IF($M$119="x",2)+IF($M$105="x",1)+IF($M$110="x",1)+IF($M$111="x",2)+IF($M$112="x",4)+IF($M$108="x",1)-IF($M$109="x",1)+IF($M$99="x",20)-IF($M$99="x",1)+IF($M$90="x",1)-IF($C$97="x",2,4)
&amp;"/"&amp;SUM($C$3,$I$2)-$C$120+IF($C$75="x",2)+$I$16-$B$10+$M$94+IF($C$77="x",2)-IF($C$78="x",4)-IF($I$78="x",1)-IF($C$79="x",4)+IF($C$80="x",1)-IF($I$77="x",2)-IF($I$90="x",2)+IF($I$83="x",2)-IF($C$83="x",4)-$C$112-5+IF(H638="x",1)+IF(H283="x",1)+I283+$M$77+IF(H285="x",1)+IF(J285="x",1)+IF($M$76="x",2)+J283+IF($M$85="x",1)+IF($M$113="x",1)+IF($M$120="x",2)+IF($M$119="x",2)+IF($M$105="x",1)+IF($M$110="x",1)+IF($M$111="x",2)+IF($M$112="x",4)+IF($M$108="x",1)-IF($M$109="x",1)-IF($M$99="x",1)+IF($M$90="x",1)-IF($C$97="x",2,4)
&amp;"/"&amp;SUM($C$3,$I$2)-$C$120+IF($C$75="x",2)+$I$16-$B$10+$M$94+IF($C$77="x",2)-IF($C$78="x",4)-IF($I$78="x",1)-IF($C$79="x",4)+IF($C$80="x",1)-IF($I$77="x",2)-IF($I$90="x",2)+IF($I$83="x",2)-IF($C$83="x",4)-$C$112-10+IF(H638="x",1)+IF(H283="x",1)+I283+$M$77+IF(H285="x",1)+IF(J285="x",1)+IF($M$76="x",2)+J283+IF($M$85="x",1)+IF($M$113="x",1)+IF($M$120="x",2)+IF($M$119="x",2)+IF($M$105="x",1)+IF($M$110="x",1)+IF($M$111="x",2)+IF($M$112="x",4)+IF($M$108="x",1)-IF($M$109="x",1)-IF($M$99="x",1)+IF($M$90="x",1)-IF($C$97="x",2,4),
IF(AND($C$3&gt;15),SUM($C$3,$I$2)-$C$120+IF($C$75="x",2)+$I$16-$B$10+$M$94+IF($C$77="x",2)-IF($C$78="x",4)-IF($I$78="x",1)-IF($C$79="x",4)+IF($C$80="x",1)-IF($I$77="x",2)-IF($I$90="x",2)+IF($I$83="x",2)-IF($C$83="x",4)-$C$112+IF(H283="x",1)+I283+$M$77+IF(H285="x",1)+IF(J285="x",1)+IF($M$76="x",2)+J283+IF($M$85="x",1)+IF($M$113="x",1)+IF($M$120="x",2)+IF($M$119="x",2)+IF($M$105="x",1)+IF($M$110="x",1)+IF($M$111="x",2)+IF($M$112="x",4)+IF($M$108="x",1)-IF($M$109="x",1)-IF($M$99="x",1)+IF($M$90="x",1)-IF($C$97="x",2,4)
&amp;"/"&amp;SUM($C$3,$I$2)-$C$120+IF($C$75="x",2)+$I$16-$B$10+$M$94+IF($C$77="x",2)-IF($C$78="x",4)-IF($I$78="x",1)-IF($C$79="x",4)+IF($C$80="x",1)-IF($I$77="x",2)-IF($I$90="x",2)+IF($I$83="x",2)-IF($C$83="x",4)-$C$112-5+IF(H638="x",1)+IF(H283="x",1)+I283+$M$77+IF(H285="x",1)+IF(J285="x",1)+IF($M$76="x",2)+J283+IF($M$85="x",1)+IF($M$113="x",1)+IF($M$120="x",2)+IF($M$119="x",2)+IF($M$105="x",1)+IF($M$110="x",1)+IF($M$111="x",2)+IF($M$112="x",4)+IF($M$108="x",1)-IF($M$109="x",1)-IF($M$99="x",1)+IF($M$90="x",1)-IF($C$97="x",2,4)
&amp;"/"&amp;SUM($C$3,$I$2)-$C$120+IF($C$75="x",2)+$I$16-$B$10+$M$94+IF($C$77="x",2)-IF($C$78="x",4)-IF($I$78="x",1)-IF($C$79="x",4)+IF($C$80="x",1)-IF($I$77="x",2)-IF($I$90="x",2)+IF($I$83="x",2)-IF($C$83="x",4)-$C$112-10+IF(H638="x",1)+IF(H283="x",1)+I283+$M$77+IF(H285="x",1)+IF(J285="x",1)+IF($M$76="x",2)+J283+IF($M$85="x",1)+IF($M$113="x",1)+IF($M$120="x",2)+IF($M$119="x",2)+IF($M$105="x",1)+IF($M$110="x",1)+IF($M$111="x",2)+IF($M$112="x",4)+IF($M$108="x",1)-IF($M$109="x",1)-IF($M$99="x",1)+IF($M$90="x",1)-IF($C$97="x",2,4)
&amp;"/"&amp;SUM($C$3,$I$2)-$C$120+IF($C$75="x",2)+$I$16-$B$10+$M$94+IF($C$77="x",2)-IF($C$78="x",4)-IF($I$78="x",1)-IF($C$79="x",4)+IF($C$80="x",1)-IF($I$77="x",2)-IF($I$90="x",2)+IF($I$83="x",2)-IF($C$83="x",4)-$C$112-15+IF(H638="x",1)+IF(H283="x",1)+I283+$M$77+IF(H285="x",1)+IF(J285="x",1)+IF($M$76="x",2)+J283+IF($M$85="x",1)+IF($M$113="x",1)+IF($M$120="x",2)+IF($M$119="x",2)+IF($M$105="x",1)+IF($M$110="x",1)+IF($M$111="x",2)+IF($M$112="x",4)+IF($M$108="x",1)-IF($M$109="x",1)-IF($M$99="x",1)+IF($M$90="x",1)-IF($C$97="x",2,4))))))</f>
        <v>-4</v>
      </c>
      <c r="C285" s="49" t="str">
        <f>_xlfn.IFS($C$7="Minimaalinen","1",$C$7="Taskukokoinen","1n2",$C$7="Hyvin pieni","1n3",$C$7="Pieni","1n4",$C$7="Keskikokoinen","1n6",$C$7="Iso","1n8",$C$7="Valtava","2n6",$C$7="Suunnaton","3n6",$C$7="Giganttinen","4n6")</f>
        <v>1n6</v>
      </c>
      <c r="D285" s="121">
        <f>SUM($I$2+$C$120)+I283+$M$77+IF(I285="x",2)+IF(K285="x",2)+IF($M$119="x",2)+IF($M$108="x",1)+$M$94-IF($M$109="x",1)+K283</f>
        <v>0</v>
      </c>
      <c r="E285" s="49" t="str">
        <f>_xlfn.IFS($C$7="Minimaalinen","2",$C$7="Taskukokoinen","2n2",$C$7="Hyvin pieni","2n3",$C$7="Pieni","2n4",$C$7="Keskikokoinen","2n6",$C$7="Iso","2n8",$C$7="Valtava","4n6",$C$7="Suunnaton","6n6",$C$7="Giganttinen","8n6")</f>
        <v>2n6</v>
      </c>
      <c r="F285" s="12">
        <f>SUM(D285*2)</f>
        <v>0</v>
      </c>
      <c r="G285" s="82" t="str">
        <f>(IF($I$89="x","50 %","")&amp;(IF($C$81="x","20 %",""))&amp;(IF($C$82="x","50 %","")))</f>
        <v/>
      </c>
      <c r="H285" s="28"/>
      <c r="I285" s="28"/>
      <c r="J285" s="28"/>
      <c r="K285" s="28"/>
      <c r="AB285" s="56"/>
      <c r="AC285" s="51"/>
      <c r="AD285" s="49"/>
      <c r="AE285" s="51"/>
      <c r="AF285" s="49"/>
      <c r="AG285" s="40"/>
      <c r="AH285" s="49"/>
      <c r="AI285" s="40"/>
      <c r="AJ285" s="40"/>
      <c r="AK285" s="40"/>
      <c r="AL285" s="40"/>
    </row>
    <row r="286" spans="1:38" x14ac:dyDescent="0.2">
      <c r="A286" s="133" t="s">
        <v>437</v>
      </c>
      <c r="B286" s="82">
        <f>IF($I$85="x","PAINISSA",IF($C$3&lt;=5,SUM($C$3,$I$2)-$C$120+IF($C$75="x",2)+$I$16-$B$10+$M$94+IF($C$77="x",2)-IF($C$78="x",4)-IF($I$78="x",1)-IF($C$79="x",4)+IF($C$80="x",1)-IF($I$77="x",2)-IF($I$90="x",2)+IF($I$83="x",2)-IF($C$75="x",4)-$C$112+IF(H283="x",1)+I283+$M$77+IF(H285="x",1)+IF(J285="x",1)+IF($M$76="x",2)+J283+IF($M$85="x",1)+IF($M$113="x",1)+IF($M$120="x",2)+IF($M$119="x",2)+IF($M$105="x",1)+IF($M$110="x",1)+IF($M$111="x",2)+IF($M$112="x",4)+IF($M$108="x",1)-IF($M$109="x",1)-IF($M$99="x",1)+IF($M$90="x",1)-IF($C$97="x",4,6),
IF(AND($C$3&gt;5,$C$3&lt;11),SUM($C$3,$I$2)-$C$120+IF($C$75="x",2)+$I$16-$B$10+$M$94+IF($C$77="x",2)-IF($C$78="x",4)-IF($I$78="x",1)-IF($C$79="x",4)+IF($C$80="x",1)-IF($I$77="x",2)-IF($I$90="x",2)+IF($I$83="x",2)-IF($C$83="x",4)-$C$112+IF(H283="x",1)+I283+$M$77+IF(H285="x",1)+IF(J285="x",1)+IF($M$76="x",2)+J283+IF($M$85="x",1)+IF($M$113="x",1)+IF($M$120="x",2)+IF($M$119="x",2)+IF($M$105="x",1)+IF($M$110="x",1)+IF($M$111="x",2)+IF($M$112="x",4)+IF($M$108="x",1)-IF($M$109="x",1)-IF($M$99="x",1)+IF($M$90="x",1)-IF($C$97="x",4,6)
&amp;"/"&amp;SUM($C$3,$I$2)-$C$120+IF($C$75="x",2)+$I$16-$B$10+$M$94+IF($C$77="x",2)-IF($C$78="x",4)-IF($I$78="x",1)-IF($C$79="x",4)+IF($C$80="x",1)-IF($I$77="x",2)-IF($I$90="x",2)+IF($I$83="x",2)-IF($C$83="x",4)-$C$112-5+IF(H283="x",1)+I283+$M$77+IF(H285="x",1)+IF(J285="x",1)+IF($M$76="x",2)+J283+IF($M$85="x",1)+IF($M$113="x",1)+IF($M$120="x",2)+IF($M$119="x",2)+IF($M$105="x",1)+IF($M$110="x",1)+IF($M$111="x",2)+IF($M$112="x",4)+IF($M$108="x",1)-IF($M$109="x",1)-IF($M$99="x",1)+IF($M$90="x",1)-IF($C$97="x",4,6),
IF(AND($C$3&gt;10,$C$3&lt;16),SUM($C$3,$I$2)-$C$120+IF($C$75="x",2)+$I$16-$B$10+$M$94+IF($C$77="x",2)-IF($C$78="x",4)-IF($I$78="x",1)-IF($C$79="x",4)+IF($C$80="x",1)-IF($I$77="x",2)-IF($I$90="x",2)+IF($I$83="x",2)-IF($C$83="x",4)-$C$112+IF(H283="x",1)+I283+$M$77+IF(H285="x",1)+IF(J285="x",1)+IF($M$76="x",2)+J283+IF($M$85="x",1)+IF($M$113="x",1)+IF($M$120="x",2)+IF($M$119="x",2)+IF($M$105="x",1)+IF($M$110="x",1)+IF($M$111="x",2)+IF($M$112="x",4)+IF($M$108="x",1)-IF($M$109="x",1)+IF($M$99="x",20)-IF($M$99="x",1)+IF($M$90="x",1)-IF($C$97="x",4,6)
&amp;"/"&amp;SUM($C$3,$I$2)-$C$120+IF($C$75="x",2)+$I$16-$B$10+$M$94+IF($C$77="x",2)-IF($C$78="x",4)-IF($I$78="x",1)-IF($C$79="x",4)+IF($C$80="x",1)-IF($I$77="x",2)-IF($I$90="x",2)+IF($I$83="x",2)-IF($C$83="x",4)-$C$112-5+IF(H638="x",1)+IF(H283="x",1)+I283+$M$77+IF(H285="x",1)+IF(J285="x",1)+IF($M$76="x",2)+J283+IF($M$85="x",1)+IF($M$113="x",1)+IF($M$120="x",2)+IF($M$119="x",2)+IF($M$105="x",1)+IF($M$110="x",1)+IF($M$111="x",2)+IF($M$112="x",4)+IF($M$108="x",1)-IF($M$109="x",1)-IF($M$99="x",1)+IF($M$90="x",1)-IF($C$97="x",4,6)
&amp;"/"&amp;SUM($C$3,$I$2)-$C$120+IF($C$75="x",2)+$I$16-$B$10+$M$94+IF($C$77="x",2)-IF($C$78="x",4)-IF($I$78="x",1)-IF($C$79="x",4)+IF($C$80="x",1)-IF($I$77="x",2)-IF($I$90="x",2)+IF($I$83="x",2)-IF($C$83="x",4)-$C$112-10+IF(H638="x",1)+IF(H283="x",1)+I283+$M$77+IF(H285="x",1)+IF(J285="x",1)+IF($M$76="x",2)+J283+IF($M$85="x",1)+IF($M$113="x",1)+IF($M$120="x",2)+IF($M$119="x",2)+IF($M$105="x",1)+IF($M$110="x",1)+IF($M$111="x",2)+IF($M$112="x",4)+IF($M$108="x",1)-IF($M$109="x",1)-IF($M$99="x",1)+IF($M$90="x",1)-IF($C$97="x",4,6),
IF(AND($C$3&gt;15),SUM($C$3,$I$2)-$C$120+IF($C$75="x",2)+$I$16-$B$10+$M$94+IF($C$77="x",2)-IF($C$78="x",4)-IF($I$78="x",1)-IF($C$79="x",4)+IF($C$80="x",1)-IF($I$77="x",2)-IF($I$90="x",2)+IF($I$83="x",2)-IF($C$83="x",4)-$C$112+IF(H283="x",1)+I283+$M$77+IF(H285="x",1)+IF(J285="x",1)+IF($M$76="x",2)+J283+IF($M$85="x",1)+IF($M$113="x",1)+IF($M$120="x",2)+IF($M$119="x",2)+IF($M$105="x",1)+IF($M$110="x",1)+IF($M$111="x",2)+IF($M$112="x",4)+IF($M$108="x",1)-IF($M$109="x",1)-IF($M$99="x",1)+IF($M$90="x",1)-IF($C$97="x",4,6)
&amp;"/"&amp;SUM($C$3,$I$2)-$C$120+IF($C$75="x",2)+$I$16-$B$10+$M$94+IF($C$77="x",2)-IF($C$78="x",4)-IF($I$78="x",1)-IF($C$79="x",4)+IF($C$80="x",1)-IF($I$77="x",2)-IF($I$90="x",2)+IF($I$83="x",2)-IF($C$83="x",4)-$C$112-5+IF(H638="x",1)+IF(H283="x",1)+I283+$M$77+IF(H285="x",1)+IF(J285="x",1)+IF($M$76="x",2)+J283+IF($M$85="x",1)+IF($M$113="x",1)+IF($M$120="x",2)+IF($M$119="x",2)+IF($M$105="x",1)+IF($M$110="x",1)+IF($M$111="x",2)+IF($M$112="x",4)+IF($M$108="x",1)-IF($M$109="x",1)-IF($M$99="x",1)+IF($M$90="x",1)-IF($C$97="x",4,6)
&amp;"/"&amp;SUM($C$3,$I$2)-$C$120+IF($C$75="x",2)+$I$16-$B$10+$M$94+IF($C$77="x",2)-IF($C$78="x",4)-IF($I$78="x",1)-IF($C$79="x",4)+IF($C$80="x",1)-IF($I$77="x",2)-IF($I$90="x",2)+IF($I$83="x",2)-IF($C$83="x",4)-$C$112-10+IF(H638="x",1)+IF(H283="x",1)+I283+$M$77+IF(H285="x",1)+IF(J285="x",1)+IF($M$76="x",2)+J283+IF($M$85="x",1)+IF($M$113="x",1)+IF($M$120="x",2)+IF($M$119="x",2)+IF($M$105="x",1)+IF($M$110="x",1)+IF($M$111="x",2)+IF($M$112="x",4)+IF($M$108="x",1)-IF($M$109="x",1)-IF($M$99="x",1)+IF($M$90="x",1)-IF($C$97="x",4,6)
&amp;"/"&amp;SUM($C$3,$I$2)-$C$120+IF($C$75="x",2)+$I$16-$B$10+$M$94+IF($C$77="x",2)-IF($C$78="x",4)-IF($I$78="x",1)-IF($C$79="x",4)+IF($C$80="x",1)-IF($I$77="x",2)-IF($I$90="x",2)+IF($I$83="x",2)-IF($C$83="x",4)-$C$112-15+IF(H638="x",1)+IF(H283="x",1)+I283+$M$77+IF(H285="x",1)+IF(J285="x",1)+IF($M$76="x",2)+J283+IF($M$85="x",1)+IF($M$113="x",1)+IF($M$120="x",2)+IF($M$119="x",2)+IF($M$105="x",1)+IF($M$110="x",1)+IF($M$111="x",2)+IF($M$112="x",4)+IF($M$108="x",1)-IF($M$109="x",1)-IF($M$99="x",1)+IF($M$90="x",1)-IF($C$97="x",4,6))))))</f>
        <v>-6</v>
      </c>
      <c r="C286" s="49" t="str">
        <f>_xlfn.IFS($C$7="Minimaalinen","1",$C$7="Taskukokoinen","1n2",$C$7="Hyvin pieni","1n3",$C$7="Pieni","1n4",$C$7="Keskikokoinen","1n6",$C$7="Iso","1n8",$C$7="Valtava","2n6",$C$7="Suunnaton","3n6",$C$7="Giganttinen","4n6")</f>
        <v>1n6</v>
      </c>
      <c r="D286" s="121">
        <f>SUM($I$2+$C$120)+I283+$M$77+IF(I285="x",2)+IF(K285="x",2)+IF($M$119="x",2)+IF($M$108="x",1)+$M$94-IF($M$109="x",1)+K283</f>
        <v>0</v>
      </c>
      <c r="E286" s="49" t="str">
        <f>_xlfn.IFS($C$7="Minimaalinen","2",$C$7="Taskukokoinen","2n2",$C$7="Hyvin pieni","2n3",$C$7="Pieni","2n4",$C$7="Keskikokoinen","2n6",$C$7="Iso","2n8",$C$7="Valtava","4n6",$C$7="Suunnaton","6n6",$C$7="Giganttinen","8n6")</f>
        <v>2n6</v>
      </c>
      <c r="F286" s="12">
        <f>SUM(D286*2)</f>
        <v>0</v>
      </c>
      <c r="G286" s="82" t="str">
        <f>(IF($I$89="x","50 %","")&amp;(IF($C$81="x","20 %",""))&amp;(IF($C$82="x","50 %","")))</f>
        <v/>
      </c>
      <c r="H286" s="14" t="s">
        <v>182</v>
      </c>
      <c r="I286" s="15"/>
      <c r="AB286" s="56"/>
      <c r="AC286" s="49"/>
      <c r="AD286" s="49"/>
      <c r="AE286" s="51"/>
      <c r="AF286" s="49"/>
      <c r="AG286" s="40"/>
      <c r="AH286" s="49"/>
      <c r="AI286" s="48"/>
    </row>
    <row r="287" spans="1:38" x14ac:dyDescent="0.2">
      <c r="A287" s="122" t="s">
        <v>436</v>
      </c>
      <c r="B287" s="123">
        <f>IF($I$85="x","PAINISSA",IF(AND($C$90="",$C$118=""),SUM($C$3,$I$2)-$C$120+IF($C$75="x",2)+$I$16-$B$10+$M$94+IF($C$77="x",2)-IF($C$78="x",4)-IF($I$78="x",1)-IF($C$79="x",4)+IF($C$80="x",1)-IF($I$77="x",2)-IF($I$90="x",2)+IF($I$83="x",2)-IF($C$75="x",4)-$C$112+IF(H283="x",1)+I283+$M$77+IF(H285="x",1)+IF(J285="x",1)+IF($M$76="x",2)+J283+IF($M$85="x",1)+IF($M$113="x",1)+IF($M$120="x",2)+IF($M$119="x",2)+IF($M$105="x",1)+IF($M$110="x",1)+IF($M$111="x",2)+IF($M$112="x",4)+IF($M$108="x",1)-IF($M$109="x",1)-IF($M$99="x",1)+IF($M$90="x",1)-IF($C$97="x",4,10),
IF(AND($C$90="x",$C$118=""),SUM($C$3,$I$2)-$C$120+IF($C$75="x",2)+$I$16-$B$10+$M$94+IF($C$77="x",2)-IF($C$78="x",4)-IF($I$78="x",1)-IF($C$79="x",4)+IF($C$80="x",1)-IF($I$77="x",2)-IF($I$90="x",2)+IF($I$83="x",2)-IF($C$83="x",4)-$C$112+IF(H283="x",1)+I283+$M$77+IF(H285="x",1)+IF(J285="x",1)+IF($M$76="x",2)+J283+IF($M$85="x",1)+IF($M$113="x",1)+IF($M$120="x",2)+IF($M$119="x",2)+IF($M$105="x",1)+IF($M$110="x",1)+IF($M$111="x",2)+IF($M$112="x",4)+IF($M$108="x",1)-IF($M$109="x",1)-IF($M$99="x",1)+IF($M$90="x",1)-IF($C$97="x",4,10)
&amp;"/"&amp;SUM($C$3,$I$2)-$C$120+IF($C$75="x",2)+$I$16-$B$10+$M$94+IF($C$77="x",2)-IF($C$78="x",4)-IF($I$78="x",1)-IF($C$79="x",4)+IF($C$80="x",1)-IF($I$77="x",2)-IF($I$90="x",2)+IF($I$83="x",2)-IF($C$83="x",4)-$C$112+IF(H283="x",1)+I283+$M$77+IF(H285="x",1)+IF(J285="x",1)+IF($M$76="x",2)+J283+IF($M$85="x",1)+IF($M$113="x",1)+IF($M$120="x",2)+IF($M$119="x",2)+IF($M$105="x",1)+IF($M$110="x",1)+IF($M$111="x",2)+IF($M$112="x",4)+IF($M$108="x",1)-IF($M$109="x",1)-IF($M$99="x",1)+IF($M$90="x",1)-IF($C$97="x",4,10)-5,
IF(AND($C$90="x",$C$118="x"),SUM($C$3,$I$2)-$C$120+IF($C$75="x",2)+$I$16-$B$10+$M$94+IF($C$77="x",2)-IF($C$78="x",4)-IF($I$78="x",1)-IF($C$79="x",4)+IF($C$80="x",1)-IF($I$77="x",2)-IF($I$90="x",2)+IF($I$83="x",2)-IF($C$83="x",4)-$C$112+IF(H283="x",1)+I283+$M$77+IF(H285="x",1)+IF(J285="x",1)+IF($M$76="x",2)+J283+IF($M$85="x",1)+IF($M$113="x",1)+IF($M$120="x",2)+IF($M$119="x",2)+IF($M$105="x",1)+IF($M$110="x",1)+IF($M$111="x",2)+IF($M$112="x",4)+IF($M$108="x",1)-IF($M$109="x",1)+IF($M$99="x",20)-IF($M$99="x",1)+IF($M$90="x",1)-IF($C$97="x",4,10)
&amp;"/"&amp;SUM($C$3,$I$2)-$C$120+IF($C$75="x",2)+$I$16-$B$10+$M$94+IF($C$77="x",2)-IF($C$78="x",4)-IF($I$78="x",1)-IF($C$79="x",4)+IF($C$80="x",1)-IF($I$77="x",2)-IF($I$90="x",2)+IF($I$83="x",2)-IF($C$83="x",4)-$C$112-5+IF(H283="x",1)+I283+$M$77+IF(H285="x",1)+IF(J285="x",1)+IF($M$76="x",2)+J283+IF($M$85="x",1)+IF($M$113="x",1)+IF($M$120="x",2)+IF($M$119="x",2)+IF($M$105="x",1)+IF($M$110="x",1)+IF($M$111="x",2)+IF($M$112="x",4)+IF($M$108="x",1)-IF($M$109="x",1)-IF($M$99="x",1)+IF($M$90="x",1)-IF($C$97="x",4,10)
&amp;"/"&amp;SUM($C$3,$I$2)-$C$120+IF($C$75="x",2)+$I$16-$B$10+$M$94+IF($C$77="x",2)-IF($C$78="x",4)-IF($I$78="x",1)-IF($C$79="x",4)+IF($C$80="x",1)-IF($I$77="x",2)-IF($I$90="x",2)+IF($I$83="x",2)-IF($C$83="x",4)-$C$112-10+IF(H283="x",1)+I283+$M$77+IF(H285="x",1)+IF(J285="x",1)+IF($M$76="x",2)+J283+IF($M$85="x",1)+IF($M$113="x",1)+IF($M$120="x",2)+IF($M$119="x",2)+IF($M$105="x",1)+IF($M$110="x",1)+IF($M$111="x",2)+IF($M$112="x",4)+IF($M$108="x",1)-IF($M$109="x",1)-IF($M$99="x",1)+IF($M$90="x",1)-IF($C$97="x",4,10)))))</f>
        <v>-10</v>
      </c>
      <c r="C287" s="54" t="str">
        <f>_xlfn.IFS($C$7="Minimaalinen","1",$C$7="Taskukokoinen","1n2",$C$7="Hyvin pieni","1n3",$C$7="Pieni","1n4",$C$7="Keskikokoinen","1n6",$C$7="Iso","1n8",$C$7="Valtava","2n6",$C$7="Suunnaton","3n6",$C$7="Giganttinen","4n6")</f>
        <v>1n6</v>
      </c>
      <c r="D287" s="123">
        <f>INT($I$2/2)+($C$120)+I283+$M$77+IF(I285="x",2)+IF(K285="x",2)+IF($M$119="x",2)+IF($M$108="x",1)+$M$94+K283-IF($M$109="x",1)</f>
        <v>0</v>
      </c>
      <c r="E287" s="54" t="str">
        <f>_xlfn.IFS($C$7="Minimaalinen","2",$C$7="Taskukokoinen","2n2",$C$7="Hyvin pieni","2n3",$C$7="Pieni","2n4",$C$7="Keskikokoinen","2n6",$C$7="Iso","2n8",$C$7="Valtava","4n6",$C$7="Suunnaton","6n6",$C$7="Giganttinen","8n6")</f>
        <v>2n6</v>
      </c>
      <c r="F287" s="124">
        <f>SUM(D287*2)</f>
        <v>0</v>
      </c>
      <c r="G287" s="124" t="str">
        <f>(IF($I$89="x","50 %","")&amp;(IF($C$81="x","20 %",""))&amp;(IF($C$82="x","50 %","")))</f>
        <v/>
      </c>
      <c r="H287" s="28"/>
      <c r="K287" s="82"/>
      <c r="AB287" s="52"/>
      <c r="AC287" s="53"/>
      <c r="AD287" s="54"/>
      <c r="AE287" s="53"/>
      <c r="AF287" s="54"/>
      <c r="AG287" s="54"/>
      <c r="AH287" s="54"/>
      <c r="AI287" s="40"/>
      <c r="AJ287" s="40"/>
      <c r="AL287" s="49"/>
    </row>
    <row r="288" spans="1:38" x14ac:dyDescent="0.2">
      <c r="A288" s="125" t="s">
        <v>250</v>
      </c>
      <c r="B288" s="25"/>
      <c r="C288" s="133"/>
      <c r="D288" s="133"/>
      <c r="E288" s="133"/>
      <c r="F288" s="133"/>
      <c r="G288" s="133"/>
      <c r="H288" s="133"/>
      <c r="I288" s="133"/>
      <c r="J288" s="133"/>
      <c r="K288" s="133"/>
    </row>
    <row r="289" spans="1:38" x14ac:dyDescent="0.2">
      <c r="A289" s="126">
        <f>IF($C$98="x",20*1.5,20)</f>
        <v>20</v>
      </c>
      <c r="B289" s="121">
        <f>_xlfn.IFS($I$85="x",
"PAINISSA",
$C$106="",
SUM($C$3,$I$3)+IF(H287="x",1)+$I$16-$B$10+$M$94+IF($C$77="x",2)-IF($C$78="x",4)-IF($I$78="x",1)-IF($I$77="x",2)-IF($I$90="x",2)+IF($I$83="x",2)-IF($C$76="x",4)-$C$112+IF(H283="x",1)+I283+$M$77+IF(H285="x",1)+IF(J285="x",1)+IF($M$76="x",2)+J283+IF($M$85="x",1)+IF($M$113="x",1)+IF($M$120="x",2)+IF($M$119="x",2)+IF($M$105="x",1)+IF($M$110="x",1)+IF($M$111="x",2)+IF($M$112="x",4)+IF($M$108="x",1)-IF($M$109="x",1)-IF($M$99="x",1)+IF($M$90="x",1),
$B$3&lt;6,
SUM($C$3,$I$3)+IF(H287="x",1)+$I$16-$B$10+$M$94+IF($C$77="x",2)-IF($C$78="x",4)-IF($I$78="x",1)-IF($I$77="x",2)-IF($I$90="x",2)+IF($I$83="x",2)-IF($C$76="x",4)-$C$112+IF(H283="x",1)+I283+$M$77+IF(H285="x",1)+IF(J285="x",1)+IF($M$76="x",2)+J283+IF($M$85="x",1)+IF($M$113="x",1)+IF($M$120="x",2)+IF($M$119="x",2)+IF($M$105="x",1)+IF($M$110="x",1)+IF($M$111="x",2)+IF($M$112="x",4)+IF($M$108="x",1)-IF($M$109="x",1)-IF($M$99="x",1)+IF($M$90="x",1),
$B$3&lt;11,
SUM($C$3,$I$3)+IF(H287="x",1)+$I$16-$B$10+$M$94+IF($C$77="x",2)-IF($C$78="x",4)-IF($I$78="x",1)-IF($I$77="x",2)-IF($I$90="x",2)+IF($I$83="x",2)-IF($C$76="x",4)-$C$112+IF(H283="x",1)+I283+$M$77+IF(H285="x",1)+IF(J285="x",1)+IF($M$76="x",2)+J283+IF($M$85="x",1)+IF($M$113="x",1)+IF($M$120="x",2)+IF($M$119="x",2)+IF($M$105="x",1)+IF($M$110="x",1)+IF($M$111="x",2)+IF($M$112="x",4)+IF($M$108="x",1)-IF($M$109="x",1)-IF($M$99="x",1)+IF($M$90="x",1)
&amp;"/"&amp;SUM($C$3,$I$3)+IF(H287="x",1)+$I$16-$B$10+$M$94+IF($C$77="x",2)-IF($C$78="x",4)-IF($I$78="x",1)-IF($I$77="x",2)-IF($I$90="x",2)+IF($I$83="x",2)-IF($C$76="x",4)-$C$112+IF(H283="x",1)+I283+$M$77+IF(H285="x",1)+IF(J285="x",1)+IF($M$76="x",2)+J283+IF($M$85="x",1)+IF($M$113="x",1)+IF($M$120="x",2)+IF($M$119="x",2)+IF($M$105="x",1)+IF($M$110="x",1)+IF($M$111="x",2)+IF($M$112="x",4)+IF($M$108="x",1)-IF($M$109="x",1)-IF($M$99="x",1)+IF($M$90="x",1)-5,
$B$3&lt;16,
SUM($C$3,$I$3)+IF(H287="x",1)+$I$16-$B$10+$M$94+IF($C$77="x",2)-IF($C$78="x",4)-IF($I$78="x",1)-IF($I$77="x",2)-IF($I$90="x",2)+IF($I$83="x",2)-IF($C$76="x",4)-$C$112+IF(H283="x",1)+I283+$M$77+IF(H285="x",1)+IF(J285="x",1)+IF($M$76="x",2)+J283+IF($M$85="x",1)+IF($M$113="x",1)+IF($M$120="x",2)+IF($M$119="x",2)+IF($M$105="x",1)+IF($M$110="x",1)+IF($M$111="x",2)+IF($M$112="x",4)+IF($M$108="x",1)-IF($M$109="x",1)-IF($M$99="x",1)+IF($M$90="x",1)
&amp;"/"&amp;SUM($C$3,$I$3)+IF(H287="x",1)+$I$16-$B$10+$M$94+IF($C$77="x",2)-IF($C$78="x",4)-IF($I$78="x",1)-IF($I$77="x",2)-IF($I$90="x",2)+IF($I$83="x",2)-IF($C$76="x",4)-$C$112+IF(H283="x",1)+I283+$M$77+IF(H285="x",1)+IF(J285="x",1)+IF($M$76="x",2)+J283+IF($M$85="x",1)+IF($M$113="x",1)+IF($M$120="x",2)+IF($M$119="x",2)+IF($M$105="x",1)+IF($M$110="x",1)+IF($M$111="x",2)+IF($M$112="x",4)+IF($M$108="x",1)-IF($M$109="x",1)-IF($M$99="x",1)+IF($M$90="x",1)-5
&amp;"/"&amp;SUM($C$3,$I$3)+IF(H287="x",1)+$I$16-$B$10+$M$94+IF($C$77="x",2)-IF($C$78="x",4)-IF($I$78="x",1)-IF($I$77="x",2)-IF($I$90="x",2)+IF($I$83="x",2)-IF($C$76="x",4)-$C$112+IF(H283="x",1)+I283+$M$77+IF(H285="x",1)+IF(J285="x",1)+IF($M$76="x",2)+J283+IF($M$85="x",1)+IF($M$113="x",1)+IF($M$120="x",2)+IF($M$119="x",2)+IF($M$105="x",1)+IF($M$110="x",1)+IF($M$111="x",2)+IF($M$112="x",4)+IF($M$108="x",1)-IF($M$109="x",1)-IF($M$99="x",1)+IF($M$90="x",1)-10,
$B$3&gt;=16,
SUM($C$3,$I$3)+IF(H287="x",1)+$I$16-$B$10+$M$94+IF($C$77="x",2)-IF($C$78="x",4)-IF($I$78="x",1)-IF($I$77="x",2)-IF($I$90="x",2)+IF($I$83="x",2)-IF($C$76="x",4)-$C$112+IF(H283="x",1)+I283+$M$77+IF(H285="x",1)+IF(J285="x",1)+IF($M$76="x",2)+J283+IF($M$85="x",1)+IF($M$113="x",1)+IF($M$120="x",2)+IF($M$119="x",2)+IF($M$105="x",1)+IF($M$110="x",1)+IF($M$111="x",2)+IF($M$112="x",4)+IF($M$108="x",1)-IF($M$109="x",1)-IF($M$99="x",1)+IF($M$90="x",1)
&amp;"/"&amp;SUM($C$3,$I$3)+IF(H287="x",1)+$I$16-$B$10+$M$94+IF($C$77="x",2)-IF($C$78="x",4)-IF($I$78="x",1)-IF($I$77="x",2)-IF($I$90="x",2)+IF($I$83="x",2)-IF($C$76="x",4)-$C$112+IF(H283="x",1)+I283+$M$77+IF(H285="x",1)+IF(J285="x",1)+IF($M$76="x",2)+J283+IF($M$85="x",1)+IF($M$113="x",1)+IF($M$120="x",2)+IF($M$119="x",2)+IF($M$105="x",1)+IF($M$110="x",1)+IF($M$111="x",2)+IF($M$112="x",4)+IF($M$108="x",1)-IF($M$109="x",1)-IF($M$99="x",1)+IF($M$90="x",1)-5
&amp;"/"&amp;SUM($C$3,$I$3)+IF(H287="x",1)+$I$16-$B$10+$M$94+IF($C$77="x",2)-IF($C$78="x",4)-IF($I$78="x",1)-IF($I$77="x",2)-IF($I$90="x",2)+IF($I$83="x",2)-IF($C$76="x",4)-$C$112+IF(H283="x",1)+I283+$M$77+IF(H285="x",1)+IF(J285="x",1)+IF($M$76="x",2)+J283+IF($M$85="x",1)+IF($M$113="x",1)+IF($M$120="x",2)+IF($M$119="x",2)+IF($M$105="x",1)+IF($M$110="x",1)+IF($M$111="x",2)+IF($M$112="x",4)+IF($M$108="x",1)-IF($M$109="x",1)-IF($M$99="x",1)+IF($M$90="x",1)-10
&amp;"/"&amp;SUM($C$3,$I$3)+IF(H287="x",1)+$I$16-$B$10+$M$94+IF($C$77="x",2)-IF($C$78="x",4)-IF($I$78="x",1)-IF($I$77="x",2)-IF($I$90="x",2)+IF($I$83="x",2)-IF($C$76="x",4)-$C$112+IF(H283="x",1)+I283+$M$77+IF(H285="x",1)+IF(J285="x",1)+IF($M$76="x",2)+J283+IF($M$85="x",1)+IF($M$113="x",1)+IF($M$120="x",2)+IF($M$119="x",2)+IF($M$105="x",1)+IF($M$110="x",1)+IF($M$111="x",2)+IF($M$112="x",4)+IF($M$108="x",1)-IF($M$109="x",1)-IF($M$99="x",1)+IF($M$90="x",1)-15)</f>
        <v>0</v>
      </c>
      <c r="C289" s="49" t="str">
        <f>_xlfn.IFS($C$7="Minimaalinen","1",$C$7="Taskukokoinen","1n2",$C$7="Hyvin pieni","1n3",$C$7="Pieni","1n4",$C$7="Keskikokoinen","1n6",$C$7="Iso","1n8",$C$7="Valtava","2n6",$C$7="Suunnaton","3n6",$C$7="Giganttinen","4n6")</f>
        <v>1n6</v>
      </c>
      <c r="D289" s="51">
        <f>SUM($I$2+$C$120)+I283+$M$77+IF(I285="x",2)+IF(K285="x",2)+IF($M$119="x",2)+IF($M$108="x",1)+$M$94-IF($M$109="x",1)+K283+IF(H287="x",1)</f>
        <v>0</v>
      </c>
      <c r="E289" s="49" t="str">
        <f>_xlfn.IFS($C$7="Minimaalinen","2",$C$7="Taskukokoinen","2n2",$C$7="Hyvin pieni","2n3",$C$7="Pieni","2n4",$C$7="Keskikokoinen","2n6",$C$7="Iso","2n8",$C$7="Valtava","4n6",$C$7="Suunnaton","6n6",$C$7="Giganttinen","8n6")</f>
        <v>2n6</v>
      </c>
      <c r="F289" s="82">
        <f>SUM(D289*2)</f>
        <v>0</v>
      </c>
      <c r="G289" s="82" t="str">
        <f>(IF($I$89="x","50 %","")&amp;(IF($C$81="x","20 %",""))&amp;(IF($C$82="x","50 %","")))</f>
        <v/>
      </c>
      <c r="H289" s="133"/>
      <c r="I289" s="133"/>
      <c r="J289" s="133"/>
      <c r="K289" s="133"/>
    </row>
    <row r="290" spans="1:38" x14ac:dyDescent="0.2">
      <c r="A290" s="127">
        <f>A289*2</f>
        <v>40</v>
      </c>
      <c r="B290" s="123">
        <f>_xlfn.IFS($I$85="x",
"PAINISSA",
$C$106="",
SUM($C$3,$I$3)+IF(H287="x",1)+$I$16-$B$10+$M$94+IF($C$77="x",2)-IF($C$78="x",4)-IF($I$78="x",1)-IF($I$77="x",2)-IF($I$90="x",2)+IF($I$83="x",2)-IF($C$76="x",4)-$C$112+IF(H283="x",1)+I283+$M$77+IF(H285="x",1)+IF(J285="x",1)+IF($M$76="x",2)+J283+IF($M$85="x",1)+IF($M$113="x",1)+IF($M$120="x",2)+IF($M$119="x",2)+IF($M$105="x",1)+IF($M$110="x",1)+IF($M$111="x",2)+IF($M$112="x",4)+IF($M$108="x",1)-IF($M$109="x",1)-IF($M$99="x",1)+IF($M$90="x",1)-2,
$B$3&lt;6,
SUM($C$3,$I$3)+IF(H287="x",1)+$I$16-$B$10+$M$94+IF($C$77="x",2)-IF($C$78="x",4)-IF($I$78="x",1)-IF($I$77="x",2)-IF($I$90="x",2)+IF($I$83="x",2)-IF($C$76="x",4)-$C$112+IF(H283="x",1)+I283+$M$77+IF(H285="x",1)+IF(J285="x",1)+IF($M$76="x",2)+J283+IF($M$85="x",1)+IF($M$113="x",1)+IF($M$120="x",2)+IF($M$119="x",2)+IF($M$105="x",1)+IF($M$110="x",1)+IF($M$111="x",2)+IF($M$112="x",4)+IF($M$108="x",1)-IF($M$109="x",1)-IF($M$99="x",1)+IF($M$90="x",1)-2,
$B$3&lt;11,
SUM($C$3,$I$3)+IF(H287="x",1)+$I$16-$B$10+$M$94+IF($C$77="x",2)-IF($C$78="x",4)-IF($I$78="x",1)-IF($I$77="x",2)-IF($I$90="x",2)+IF($I$83="x",2)-IF($C$76="x",4)-$C$112+IF(H283="x",1)+I283+$M$77+IF(H285="x",1)+IF(J285="x",1)+IF($M$76="x",2)+J283+IF($M$85="x",1)+IF($M$113="x",1)+IF($M$120="x",2)+IF($M$119="x",2)+IF($M$105="x",1)+IF($M$110="x",1)+IF($M$111="x",2)+IF($M$112="x",4)+IF($M$108="x",1)-IF($M$109="x",1)-IF($M$99="x",1)+IF($M$90="x",1)-2
&amp;"/"&amp;SUM($C$3,$I$3)+IF(H287="x",1)+$I$16-$B$10+$M$94+IF($C$77="x",2)-IF($C$78="x",4)-IF($I$78="x",1)-IF($I$77="x",2)-IF($I$90="x",2)+IF($I$83="x",2)-IF($C$76="x",4)-$C$112+IF(H283="x",1)+I283+$M$77+IF(H285="x",1)+IF(J285="x",1)+IF($M$76="x",2)+J283+IF($M$85="x",1)+IF($M$113="x",1)+IF($M$120="x",2)+IF($M$119="x",2)+IF($M$105="x",1)+IF($M$110="x",1)+IF($M$111="x",2)+IF($M$112="x",4)+IF($M$108="x",1)-IF($M$109="x",1)-IF($M$99="x",1)+IF($M$90="x",1)-5-2,
$B$3&lt;16,
SUM($C$3,$I$3)+IF(H287="x",1)+$I$16-$B$10+$M$94+IF($C$77="x",2)-IF($C$78="x",4)-IF($I$78="x",1)-IF($I$77="x",2)-IF($I$90="x",2)+IF($I$83="x",2)-IF($C$76="x",4)-$C$112+IF(H283="x",1)+I283+$M$77+IF(H285="x",1)+IF(J285="x",1)+IF($M$76="x",2)+J283+IF($M$85="x",1)+IF($M$113="x",1)+IF($M$120="x",2)+IF($M$119="x",2)+IF($M$105="x",1)+IF($M$110="x",1)+IF($M$111="x",2)+IF($M$112="x",4)+IF($M$108="x",1)-IF($M$109="x",1)-IF($M$99="x",1)+IF($M$90="x",1)-2
&amp;"/"&amp;SUM($C$3,$I$3)+IF(H287="x",1)+$I$16-$B$10+$M$94+IF($C$77="x",2)-IF($C$78="x",4)-IF($I$78="x",1)-IF($I$77="x",2)-IF($I$90="x",2)+IF($I$83="x",2)-IF($C$76="x",4)-$C$112+IF(H283="x",1)+I283+$M$77+IF(H285="x",1)+IF(J285="x",1)+IF($M$76="x",2)+J283+IF($M$85="x",1)+IF($M$113="x",1)+IF($M$120="x",2)+IF($M$119="x",2)+IF($M$105="x",1)+IF($M$110="x",1)+IF($M$111="x",2)+IF($M$112="x",4)+IF($M$108="x",1)-IF($M$109="x",1)-IF($M$99="x",1)+IF($M$90="x",1)-5-2
&amp;"/"&amp;SUM($C$3,$I$3)+IF(H287="x",1)+$I$16-$B$10+$M$94+IF($C$77="x",2)-IF($C$78="x",4)-IF($I$78="x",1)-IF($I$77="x",2)-IF($I$90="x",2)+IF($I$83="x",2)-IF($C$76="x",4)-$C$112+IF(H283="x",1)+I283+$M$77+IF(H285="x",1)+IF(J285="x",1)+IF($M$76="x",2)+J283+IF($M$85="x",1)+IF($M$113="x",1)+IF($M$120="x",2)+IF($M$119="x",2)+IF($M$105="x",1)+IF($M$110="x",1)+IF($M$111="x",2)+IF($M$112="x",4)+IF($M$108="x",1)-IF($M$109="x",1)-IF($M$99="x",1)+IF($M$90="x",1)-10-2,
$B$3&gt;=16,
SUM($C$3,$I$3)+IF(H287="x",1)+$I$16-$B$10+$M$94+IF($C$77="x",2)-IF($C$78="x",4)-IF($I$78="x",1)-IF($I$77="x",2)-IF($I$90="x",2)+IF($I$83="x",2)-IF($C$76="x",4)-$C$112+IF(H283="x",1)+I283+$M$77+IF(H285="x",1)+IF(J285="x",1)+IF($M$76="x",2)+J283+IF($M$85="x",1)+IF($M$113="x",1)+IF($M$120="x",2)+IF($M$119="x",2)+IF($M$105="x",1)+IF($M$110="x",1)+IF($M$111="x",2)+IF($M$112="x",4)+IF($M$108="x",1)-IF($M$109="x",1)-IF($M$99="x",1)+IF($M$90="x",1)-2
&amp;"/"&amp;SUM($C$3,$I$3)+IF(H287="x",1)+$I$16-$B$10+$M$94+IF($C$77="x",2)-IF($C$78="x",4)-IF($I$78="x",1)-IF($I$77="x",2)-IF($I$90="x",2)+IF($I$83="x",2)-IF($C$76="x",4)-$C$112+IF(H283="x",1)+I283+$M$77+IF(H285="x",1)+IF(J285="x",1)+IF($M$76="x",2)+J283+IF($M$85="x",1)+IF($M$113="x",1)+IF($M$120="x",2)+IF($M$119="x",2)+IF($M$105="x",1)+IF($M$110="x",1)+IF($M$111="x",2)+IF($M$112="x",4)+IF($M$108="x",1)-IF($M$109="x",1)-IF($M$99="x",1)+IF($M$90="x",1)-5-2
&amp;"/"&amp;SUM($C$3,$I$3)+IF(H287="x",1)+$I$16-$B$10+$M$94+IF($C$77="x",2)-IF($C$78="x",4)-IF($I$78="x",1)-IF($I$77="x",2)-IF($I$90="x",2)+IF($I$83="x",2)-IF($C$76="x",4)-$C$112+IF(H283="x",1)+I283+$M$77+IF(H285="x",1)+IF(J285="x",1)+IF($M$76="x",2)+J283+IF($M$85="x",1)+IF($M$113="x",1)+IF($M$120="x",2)+IF($M$119="x",2)+IF($M$105="x",1)+IF($M$110="x",1)+IF($M$111="x",2)+IF($M$112="x",4)+IF($M$108="x",1)-IF($M$109="x",1)-IF($M$99="x",1)+IF($M$90="x",1)-10-2
&amp;"/"&amp;SUM($C$3,$I$3)+IF(H287="x",1)+$I$16-$B$10+$M$94+IF($C$77="x",2)-IF($C$78="x",4)-IF($I$78="x",1)-IF($I$77="x",2)-IF($I$90="x",2)+IF($I$83="x",2)-IF($C$76="x",4)-$C$112+IF(H283="x",1)+I283+$M$77+IF(H285="x",1)+IF(J285="x",1)+IF($M$76="x",2)+J283+IF($M$85="x",1)+IF($M$113="x",1)+IF($M$120="x",2)+IF($M$119="x",2)+IF($M$105="x",1)+IF($M$110="x",1)+IF($M$111="x",2)+IF($M$112="x",4)+IF($M$108="x",1)-IF($M$109="x",1)-IF($M$99="x",1)+IF($M$90="x",1)-15-2)</f>
        <v>-2</v>
      </c>
      <c r="C290" s="135"/>
      <c r="D290" s="136"/>
      <c r="E290" s="135"/>
      <c r="F290" s="135"/>
      <c r="G290" s="123" t="str">
        <f>(IF($I$89="x","50 %","")&amp;(IF($C$81="x","20 %",""))&amp;(IF($C$82="x","50 %","")))</f>
        <v/>
      </c>
      <c r="H290" s="133"/>
      <c r="I290" s="133"/>
      <c r="J290" s="133"/>
      <c r="K290" s="133"/>
      <c r="AB290" s="115"/>
      <c r="AC290" s="116"/>
      <c r="AD290" s="116"/>
      <c r="AE290" s="116"/>
      <c r="AF290" s="116"/>
      <c r="AG290" s="116"/>
      <c r="AH290" s="116"/>
      <c r="AI290" s="48"/>
      <c r="AJ290" s="48"/>
      <c r="AK290" s="48"/>
      <c r="AL290" s="48"/>
    </row>
    <row r="291" spans="1:38" x14ac:dyDescent="0.2">
      <c r="A291" s="126">
        <f>A289*3</f>
        <v>60</v>
      </c>
      <c r="B291" s="121">
        <f>_xlfn.IFS($I$85="x",
"PAINISSA",
$C$106="",
SUM($C$3,$I$3)+IF(H287="x",1)+$I$16-$B$10+$M$94+IF($C$77="x",2)-IF($C$78="x",4)-IF($I$78="x",1)-IF($I$77="x",2)-IF($I$90="x",2)+IF($I$83="x",2)-IF($C$76="x",4)-$C$112+IF(H283="x",1)+I283+$M$77+IF(H285="x",1)+IF(J285="x",1)+IF($M$76="x",2)+J283+IF($M$85="x",1)+IF($M$113="x",1)+IF($M$120="x",2)+IF($M$119="x",2)+IF($M$105="x",1)+IF($M$110="x",1)+IF($M$111="x",2)+IF($M$112="x",4)+IF($M$108="x",1)-IF($M$109="x",1)-IF($M$99="x",1)+IF($M$90="x",1)-4,
$B$3&lt;6,
SUM($C$3,$I$3)+IF(H287="x",1)+$I$16-$B$10+$M$94+IF($C$77="x",2)-IF($C$78="x",4)-IF($I$78="x",1)-IF($I$77="x",2)-IF($I$90="x",2)+IF($I$83="x",2)-IF($C$76="x",4)-$C$112+IF(H283="x",1)+I283+$M$77+IF(H285="x",1)+IF(J285="x",1)+IF($M$76="x",2)+J283+IF($M$85="x",1)+IF($M$113="x",1)+IF($M$120="x",2)+IF($M$119="x",2)+IF($M$105="x",1)+IF($M$110="x",1)+IF($M$111="x",2)+IF($M$112="x",4)+IF($M$108="x",1)-IF($M$109="x",1)-IF($M$99="x",1)+IF($M$90="x",1)-4,
$B$3&lt;11,
SUM($C$3,$I$3)+IF(H287="x",1)+$I$16-$B$10+$M$94+IF($C$77="x",2)-IF($C$78="x",4)-IF($I$78="x",1)-IF($I$77="x",2)-IF($I$90="x",2)+IF($I$83="x",2)-IF($C$76="x",4)-$C$112+IF(H283="x",1)+I283+$M$77+IF(H285="x",1)+IF(J285="x",1)+IF($M$76="x",2)+J283+IF($M$85="x",1)+IF($M$113="x",1)+IF($M$120="x",2)+IF($M$119="x",2)+IF($M$105="x",1)+IF($M$110="x",1)+IF($M$111="x",2)+IF($M$112="x",4)+IF($M$108="x",1)-IF($M$109="x",1)-IF($M$99="x",1)+IF($M$90="x",1)-4
&amp;"/"&amp;SUM($C$3,$I$3)+IF(H287="x",1)+$I$16-$B$10+$M$94+IF($C$77="x",2)-IF($C$78="x",4)-IF($I$78="x",1)-IF($I$77="x",2)-IF($I$90="x",2)+IF($I$83="x",2)-IF($C$76="x",4)-$C$112+IF(H283="x",1)+I283+$M$77+IF(H285="x",1)+IF(J285="x",1)+IF($M$76="x",2)+J283+IF($M$85="x",1)+IF($M$113="x",1)+IF($M$120="x",2)+IF($M$119="x",2)+IF($M$105="x",1)+IF($M$110="x",1)+IF($M$111="x",2)+IF($M$112="x",4)+IF($M$108="x",1)-IF($M$109="x",1)-IF($M$99="x",1)+IF($M$90="x",1)-5-4,
$B$3&lt;16,
SUM($C$3,$I$3)+IF(H287="x",1)+$I$16-$B$10+$M$94+IF($C$77="x",2)-IF($C$78="x",4)-IF($I$78="x",1)-IF($I$77="x",2)-IF($I$90="x",2)+IF($I$83="x",2)-IF($C$76="x",4)-$C$112+IF(H283="x",1)+I283+$M$77+IF(H285="x",1)+IF(J285="x",1)+IF($M$76="x",2)+J283+IF($M$85="x",1)+IF($M$113="x",1)+IF($M$120="x",2)+IF($M$119="x",2)+IF($M$105="x",1)+IF($M$110="x",1)+IF($M$111="x",2)+IF($M$112="x",4)+IF($M$108="x",1)-IF($M$109="x",1)-IF($M$99="x",1)+IF($M$90="x",1)-4
&amp;"/"&amp;SUM($C$3,$I$3)+IF(H287="x",1)+$I$16-$B$10+$M$94+IF($C$77="x",2)-IF($C$78="x",4)-IF($I$78="x",1)-IF($I$77="x",2)-IF($I$90="x",2)+IF($I$83="x",2)-IF($C$76="x",4)-$C$112+IF(H283="x",1)+I283+$M$77+IF(H285="x",1)+IF(J285="x",1)+IF($M$76="x",2)+J283+IF($M$85="x",1)+IF($M$113="x",1)+IF($M$120="x",2)+IF($M$119="x",2)+IF($M$105="x",1)+IF($M$110="x",1)+IF($M$111="x",2)+IF($M$112="x",4)+IF($M$108="x",1)-IF($M$109="x",1)-IF($M$99="x",1)+IF($M$90="x",1)-5-4
&amp;"/"&amp;SUM($C$3,$I$3)+IF(H287="x",1)+$I$16-$B$10+$M$94+IF($C$77="x",2)-IF($C$78="x",4)-IF($I$78="x",1)-IF($I$77="x",2)-IF($I$90="x",2)+IF($I$83="x",2)-IF($C$76="x",4)-$C$112+IF(H283="x",1)+I283+$M$77+IF(H285="x",1)+IF(J285="x",1)+IF($M$76="x",2)+J283+IF($M$85="x",1)+IF($M$113="x",1)+IF($M$120="x",2)+IF($M$119="x",2)+IF($M$105="x",1)+IF($M$110="x",1)+IF($M$111="x",2)+IF($M$112="x",4)+IF($M$108="x",1)-IF($M$109="x",1)-IF($M$99="x",1)+IF($M$90="x",1)-10-4,
$B$3&gt;=16,
SUM($C$3,$I$3)+IF(H287="x",1)+$I$16-$B$10+$M$94+IF($C$77="x",2)-IF($C$78="x",4)-IF($I$78="x",1)-IF($I$77="x",2)-IF($I$90="x",2)+IF($I$83="x",2)-IF($C$76="x",4)-$C$112+IF(H283="x",1)+I283+$M$77+IF(H285="x",1)+IF(J285="x",1)+IF($M$76="x",2)+J283+IF($M$85="x",1)+IF($M$113="x",1)+IF($M$120="x",2)+IF($M$119="x",2)+IF($M$105="x",1)+IF($M$110="x",1)+IF($M$111="x",2)+IF($M$112="x",4)+IF($M$108="x",1)-IF($M$109="x",1)-IF($M$99="x",1)+IF($M$90="x",1)-4
&amp;"/"&amp;SUM($C$3,$I$3)+IF(H287="x",1)+$I$16-$B$10+$M$94+IF($C$77="x",2)-IF($C$78="x",4)-IF($I$78="x",1)-IF($I$77="x",2)-IF($I$90="x",2)+IF($I$83="x",2)-IF($C$76="x",4)-$C$112+IF(H283="x",1)+I283+$M$77+IF(H285="x",1)+IF(J285="x",1)+IF($M$76="x",2)+J283+IF($M$85="x",1)+IF($M$113="x",1)+IF($M$120="x",2)+IF($M$119="x",2)+IF($M$105="x",1)+IF($M$110="x",1)+IF($M$111="x",2)+IF($M$112="x",4)+IF($M$108="x",1)-IF($M$109="x",1)-IF($M$99="x",1)+IF($M$90="x",1)-5-4
&amp;"/"&amp;SUM($C$3,$I$3)+IF(H287="x",1)+$I$16-$B$10+$M$94+IF($C$77="x",2)-IF($C$78="x",4)-IF($I$78="x",1)-IF($I$77="x",2)-IF($I$90="x",2)+IF($I$83="x",2)-IF($C$76="x",4)-$C$112+IF(H283="x",1)+I283+$M$77+IF(H285="x",1)+IF(J285="x",1)+IF($M$76="x",2)+J283+IF($M$85="x",1)+IF($M$113="x",1)+IF($M$120="x",2)+IF($M$119="x",2)+IF($M$105="x",1)+IF($M$110="x",1)+IF($M$111="x",2)+IF($M$112="x",4)+IF($M$108="x",1)-IF($M$109="x",1)-IF($M$99="x",1)+IF($M$90="x",1)-10-4
&amp;"/"&amp;SUM($C$3,$I$3)+IF(H287="x",1)+$I$16-$B$10+$M$94+IF($C$77="x",2)-IF($C$78="x",4)-IF($I$78="x",1)-IF($I$77="x",2)-IF($I$90="x",2)+IF($I$83="x",2)-IF($C$76="x",4)-$C$112+IF(H283="x",1)+I283+$M$77+IF(H285="x",1)+IF(J285="x",1)+IF($M$76="x",2)+J283+IF($M$85="x",1)+IF($M$113="x",1)+IF($M$120="x",2)+IF($M$119="x",2)+IF($M$105="x",1)+IF($M$110="x",1)+IF($M$111="x",2)+IF($M$112="x",4)+IF($M$108="x",1)-IF($M$109="x",1)-IF($M$99="x",1)+IF($M$90="x",1)-15-4)</f>
        <v>-4</v>
      </c>
      <c r="C291" s="135"/>
      <c r="D291" s="136"/>
      <c r="E291" s="135"/>
      <c r="F291" s="135"/>
      <c r="G291" s="82" t="str">
        <f>(IF($I$89="x","50 %","")&amp;(IF($C$81="x","20 %",""))&amp;(IF($C$82="x","50 %","")))</f>
        <v/>
      </c>
      <c r="H291" s="131"/>
      <c r="I291" s="131"/>
      <c r="J291" s="131"/>
      <c r="K291" s="131"/>
      <c r="AB291" s="57"/>
      <c r="AC291" s="40"/>
      <c r="AD291" s="49"/>
      <c r="AE291" s="41"/>
      <c r="AF291" s="49"/>
      <c r="AG291" s="40"/>
      <c r="AH291" s="40"/>
      <c r="AI291" s="40"/>
      <c r="AJ291" s="40"/>
      <c r="AK291" s="40"/>
      <c r="AL291" s="40"/>
    </row>
    <row r="292" spans="1:38" x14ac:dyDescent="0.2">
      <c r="A292" s="127">
        <f>A289*4</f>
        <v>80</v>
      </c>
      <c r="B292" s="123">
        <f>_xlfn.IFS($I$85="x",
"PAINISSA",
$C$106="",
SUM($C$3,$I$3)+IF(H287="x",1)+$I$16-$B$10+$M$94+IF($C$77="x",2)-IF($C$78="x",4)-IF($I$78="x",1)-IF($I$77="x",2)-IF($I$90="x",2)+IF($I$83="x",2)-IF($C$76="x",4)-$C$112+IF(H283="x",1)+I283+$M$77+IF(H285="x",1)+IF(J285="x",1)+IF($M$76="x",2)+J283+IF($M$85="x",1)+IF($M$113="x",1)+IF($M$120="x",2)+IF($M$119="x",2)+IF($M$105="x",1)+IF($M$110="x",1)+IF($M$111="x",2)+IF($M$112="x",4)+IF($M$108="x",1)-IF($M$109="x",1)-IF($M$99="x",1)+IF($M$90="x",1)-6,
$B$3&lt;6,
SUM($C$3,$I$3)+IF(H287="x",1)+$I$16-$B$10+$M$94+IF($C$77="x",2)-IF($C$78="x",4)-IF($I$78="x",1)-IF($I$77="x",2)-IF($I$90="x",2)+IF($I$83="x",2)-IF($C$76="x",4)-$C$112+IF(H283="x",1)+I283+$M$77+IF(H285="x",1)+IF(J285="x",1)+IF($M$76="x",2)+J283+IF($M$85="x",1)+IF($M$113="x",1)+IF($M$120="x",2)+IF($M$119="x",2)+IF($M$105="x",1)+IF($M$110="x",1)+IF($M$111="x",2)+IF($M$112="x",4)+IF($M$108="x",1)-IF($M$109="x",1)-IF($M$99="x",1)+IF($M$90="x",1)-6,
$B$3&lt;11,
SUM($C$3,$I$3)+IF(H287="x",1)+$I$16-$B$10+$M$94+IF($C$77="x",2)-IF($C$78="x",4)-IF($I$78="x",1)-IF($I$77="x",2)-IF($I$90="x",2)+IF($I$83="x",2)-IF($C$76="x",4)-$C$112+IF(H283="x",1)+I283+$M$77+IF(H285="x",1)+IF(J285="x",1)+IF($M$76="x",2)+J283+IF($M$85="x",1)+IF($M$113="x",1)+IF($M$120="x",2)+IF($M$119="x",2)+IF($M$105="x",1)+IF($M$110="x",1)+IF($M$111="x",2)+IF($M$112="x",4)+IF($M$108="x",1)-IF($M$109="x",1)-IF($M$99="x",1)+IF($M$90="x",1)-6
&amp;"/"&amp;SUM($C$3,$I$3)+IF(H287="x",1)+$I$16-$B$10+$M$94+IF($C$77="x",2)-IF($C$78="x",4)-IF($I$78="x",1)-IF($I$77="x",2)-IF($I$90="x",2)+IF($I$83="x",2)-IF($C$76="x",4)-$C$112+IF(H283="x",1)+I283+$M$77+IF(H285="x",1)+IF(J285="x",1)+IF($M$76="x",2)+J283+IF($M$85="x",1)+IF($M$113="x",1)+IF($M$120="x",2)+IF($M$119="x",2)+IF($M$105="x",1)+IF($M$110="x",1)+IF($M$111="x",2)+IF($M$112="x",4)+IF($M$108="x",1)-IF($M$109="x",1)-IF($M$99="x",1)+IF($M$90="x",1)-5-6,
$B$3&lt;16,
SUM($C$3,$I$3)+IF(H287="x",1)+$I$16-$B$10+$M$94+IF($C$77="x",2)-IF($C$78="x",4)-IF($I$78="x",1)-IF($I$77="x",2)-IF($I$90="x",2)+IF($I$83="x",2)-IF($C$76="x",4)-$C$112+IF(H283="x",1)+I283+$M$77+IF(H285="x",1)+IF(J285="x",1)+IF($M$76="x",2)+J283+IF($M$85="x",1)+IF($M$113="x",1)+IF($M$120="x",2)+IF($M$119="x",2)+IF($M$105="x",1)+IF($M$110="x",1)+IF($M$111="x",2)+IF($M$112="x",4)+IF($M$108="x",1)-IF($M$109="x",1)-IF($M$99="x",1)+IF($M$90="x",1)-6
&amp;"/"&amp;SUM($C$3,$I$3)+IF(H287="x",1)+$I$16-$B$10+$M$94+IF($C$77="x",2)-IF($C$78="x",4)-IF($I$78="x",1)-IF($I$77="x",2)-IF($I$90="x",2)+IF($I$83="x",2)-IF($C$76="x",4)-$C$112+IF(H283="x",1)+I283+$M$77+IF(H285="x",1)+IF(J285="x",1)+IF($M$76="x",2)+J283+IF($M$85="x",1)+IF($M$113="x",1)+IF($M$120="x",2)+IF($M$119="x",2)+IF($M$105="x",1)+IF($M$110="x",1)+IF($M$111="x",2)+IF($M$112="x",4)+IF($M$108="x",1)-IF($M$109="x",1)-IF($M$99="x",1)+IF($M$90="x",1)-5-6
&amp;"/"&amp;SUM($C$3,$I$3)+IF(H287="x",1)+$I$16-$B$10+$M$94+IF($C$77="x",2)-IF($C$78="x",4)-IF($I$78="x",1)-IF($I$77="x",2)-IF($I$90="x",2)+IF($I$83="x",2)-IF($C$76="x",4)-$C$112+IF(H283="x",1)+I283+$M$77+IF(H285="x",1)+IF(J285="x",1)+IF($M$76="x",2)+J283+IF($M$85="x",1)+IF($M$113="x",1)+IF($M$120="x",2)+IF($M$119="x",2)+IF($M$105="x",1)+IF($M$110="x",1)+IF($M$111="x",2)+IF($M$112="x",4)+IF($M$108="x",1)-IF($M$109="x",1)-IF($M$99="x",1)+IF($M$90="x",1)-10-6,
$B$3&gt;=16,
SUM($C$3,$I$3)+IF(H287="x",1)+$I$16-$B$10+$M$94+IF($C$77="x",2)-IF($C$78="x",4)-IF($I$78="x",1)-IF($I$77="x",2)-IF($I$90="x",2)+IF($I$83="x",2)-IF($C$76="x",4)-$C$112+IF(H283="x",1)+I283+$M$77+IF(H285="x",1)+IF(J285="x",1)+IF($M$76="x",2)+J283+IF($M$85="x",1)+IF($M$113="x",1)+IF($M$120="x",2)+IF($M$119="x",2)+IF($M$105="x",1)+IF($M$110="x",1)+IF($M$111="x",2)+IF($M$112="x",4)+IF($M$108="x",1)-IF($M$109="x",1)-IF($M$99="x",1)+IF($M$90="x",1)-6
&amp;"/"&amp;SUM($C$3,$I$3)+IF(H287="x",1)+$I$16-$B$10+$M$94+IF($C$77="x",2)-IF($C$78="x",4)-IF($I$78="x",1)-IF($I$77="x",2)-IF($I$90="x",2)+IF($I$83="x",2)-IF($C$76="x",4)-$C$112+IF(H283="x",1)+I283+$M$77+IF(H285="x",1)+IF(J285="x",1)+IF($M$76="x",2)+J283+IF($M$85="x",1)+IF($M$113="x",1)+IF($M$120="x",2)+IF($M$119="x",2)+IF($M$105="x",1)+IF($M$110="x",1)+IF($M$111="x",2)+IF($M$112="x",4)+IF($M$108="x",1)-IF($M$109="x",1)-IF($M$99="x",1)+IF($M$90="x",1)-5-6
&amp;"/"&amp;SUM($C$3,$I$3)+IF(H287="x",1)+$I$16-$B$10+$M$94+IF($C$77="x",2)-IF($C$78="x",4)-IF($I$78="x",1)-IF($I$77="x",2)-IF($I$90="x",2)+IF($I$83="x",2)-IF($C$76="x",4)-$C$112+IF(H283="x",1)+I283+$M$77+IF(H285="x",1)+IF(J285="x",1)+IF($M$76="x",2)+J283+IF($M$85="x",1)+IF($M$113="x",1)+IF($M$120="x",2)+IF($M$119="x",2)+IF($M$105="x",1)+IF($M$110="x",1)+IF($M$111="x",2)+IF($M$112="x",4)+IF($M$108="x",1)-IF($M$109="x",1)-IF($M$99="x",1)+IF($M$90="x",1)-10-6
&amp;"/"&amp;SUM($C$3,$I$3)+IF(H287="x",1)+$I$16-$B$10+$M$94+IF($C$77="x",2)-IF($C$78="x",4)-IF($I$78="x",1)-IF($I$77="x",2)-IF($I$90="x",2)+IF($I$83="x",2)-IF($C$76="x",4)-$C$112+IF(H283="x",1)+I283+$M$77+IF(H285="x",1)+IF(J285="x",1)+IF($M$76="x",2)+J283+IF($M$85="x",1)+IF($M$113="x",1)+IF($M$120="x",2)+IF($M$119="x",2)+IF($M$105="x",1)+IF($M$110="x",1)+IF($M$111="x",2)+IF($M$112="x",4)+IF($M$108="x",1)-IF($M$109="x",1)-IF($M$99="x",1)+IF($M$90="x",1)-15-6)</f>
        <v>-6</v>
      </c>
      <c r="C292" s="135"/>
      <c r="D292" s="136"/>
      <c r="E292" s="135"/>
      <c r="F292" s="135"/>
      <c r="G292" s="123" t="str">
        <f>(IF($I$89="x","50 %","")&amp;(IF($C$81="x","20 %",""))&amp;(IF($C$82="x","50 %","")))</f>
        <v/>
      </c>
      <c r="H292" s="131"/>
      <c r="I292" s="131"/>
      <c r="J292" s="131"/>
      <c r="K292" s="131"/>
      <c r="AB292" s="47"/>
      <c r="AC292" s="113"/>
      <c r="AD292" s="114"/>
      <c r="AE292" s="113"/>
      <c r="AF292" s="114"/>
      <c r="AG292" s="114"/>
      <c r="AH292" s="114"/>
      <c r="AI292" s="48"/>
      <c r="AJ292" s="48"/>
      <c r="AK292" s="48"/>
      <c r="AL292" s="48"/>
    </row>
    <row r="293" spans="1:38" x14ac:dyDescent="0.2">
      <c r="A293" s="126">
        <f>A289*5</f>
        <v>100</v>
      </c>
      <c r="B293" s="121">
        <f>_xlfn.IFS($I$85="x",
"PAINISSA",
$C$106="",
SUM($C$3,$I$3)+IF(H287="x",1)+$I$16-$B$10+$M$94+IF($C$77="x",2)-IF($C$78="x",4)-IF($I$78="x",1)-IF($I$77="x",2)-IF($I$90="x",2)+IF($I$83="x",2)-IF($C$76="x",4)-$C$112+IF(H283="x",1)+I283+$M$77+IF(H285="x",1)+IF(J285="x",1)+IF($M$76="x",2)+J283+IF($M$85="x",1)+IF($M$113="x",1)+IF($M$120="x",2)+IF($M$119="x",2)+IF($M$105="x",1)+IF($M$110="x",1)+IF($M$111="x",2)+IF($M$112="x",4)+IF($M$108="x",1)-IF($M$109="x",1)-IF($M$99="x",1)+IF($M$90="x",1)-8,
$B$3&lt;6,
SUM($C$3,$I$3)+IF(H287="x",1)+$I$16-$B$10+$M$94+IF($C$77="x",2)-IF($C$78="x",4)-IF($I$78="x",1)-IF($I$77="x",2)-IF($I$90="x",2)+IF($I$83="x",2)-IF($C$76="x",4)-$C$112+IF(H283="x",1)+I283+$M$77+IF(H285="x",1)+IF(J285="x",1)+IF($M$76="x",2)+J283+IF($M$85="x",1)+IF($M$113="x",1)+IF($M$120="x",2)+IF($M$119="x",2)+IF($M$105="x",1)+IF($M$110="x",1)+IF($M$111="x",2)+IF($M$112="x",4)+IF($M$108="x",1)-IF($M$109="x",1)-IF($M$99="x",1)+IF($M$90="x",1)-8,
$B$3&lt;11,
SUM($C$3,$I$3)+IF(H287="x",1)+$I$16-$B$10+$M$94+IF($C$77="x",2)-IF($C$78="x",4)-IF($I$78="x",1)-IF($I$77="x",2)-IF($I$90="x",2)+IF($I$83="x",2)-IF($C$76="x",4)-$C$112+IF(H283="x",1)+I283+$M$77+IF(H285="x",1)+IF(J285="x",1)+IF($M$76="x",2)+J283+IF($M$85="x",1)+IF($M$113="x",1)+IF($M$120="x",2)+IF($M$119="x",2)+IF($M$105="x",1)+IF($M$110="x",1)+IF($M$111="x",2)+IF($M$112="x",4)+IF($M$108="x",1)-IF($M$109="x",1)-IF($M$99="x",1)+IF($M$90="x",1)-8
&amp;"/"&amp;SUM($C$3,$I$3)+IF(H287="x",1)+$I$16-$B$10+$M$94+IF($C$77="x",2)-IF($C$78="x",4)-IF($I$78="x",1)-IF($I$77="x",2)-IF($I$90="x",2)+IF($I$83="x",2)-IF($C$76="x",4)-$C$112+IF(H283="x",1)+I283+$M$77+IF(H285="x",1)+IF(J285="x",1)+IF($M$76="x",2)+J283+IF($M$85="x",1)+IF($M$113="x",1)+IF($M$120="x",2)+IF($M$119="x",2)+IF($M$105="x",1)+IF($M$110="x",1)+IF($M$111="x",2)+IF($M$112="x",4)+IF($M$108="x",1)-IF($M$109="x",1)-IF($M$99="x",1)+IF($M$90="x",1)-5-8,
$B$3&lt;16,
SUM($C$3,$I$3)+IF(H287="x",1)+$I$16-$B$10+$M$94+IF($C$77="x",2)-IF($C$78="x",4)-IF($I$78="x",1)-IF($I$77="x",2)-IF($I$90="x",2)+IF($I$83="x",2)-IF($C$76="x",4)-$C$112+IF(H283="x",1)+I283+$M$77+IF(H285="x",1)+IF(J285="x",1)+IF($M$76="x",2)+J283+IF($M$85="x",1)+IF($M$113="x",1)+IF($M$120="x",2)+IF($M$119="x",2)+IF($M$105="x",1)+IF($M$110="x",1)+IF($M$111="x",2)+IF($M$112="x",4)+IF($M$108="x",1)-IF($M$109="x",1)-IF($M$99="x",1)+IF($M$90="x",1)-8
&amp;"/"&amp;SUM($C$3,$I$3)+IF(H287="x",1)+$I$16-$B$10+$M$94+IF($C$77="x",2)-IF($C$78="x",4)-IF($I$78="x",1)-IF($I$77="x",2)-IF($I$90="x",2)+IF($I$83="x",2)-IF($C$76="x",4)-$C$112+IF(H283="x",1)+I283+$M$77+IF(H285="x",1)+IF(J285="x",1)+IF($M$76="x",2)+J283+IF($M$85="x",1)+IF($M$113="x",1)+IF($M$120="x",2)+IF($M$119="x",2)+IF($M$105="x",1)+IF($M$110="x",1)+IF($M$111="x",2)+IF($M$112="x",4)+IF($M$108="x",1)-IF($M$109="x",1)-IF($M$99="x",1)+IF($M$90="x",1)-5-8
&amp;"/"&amp;SUM($C$3,$I$3)+IF(H287="x",1)+$I$16-$B$10+$M$94+IF($C$77="x",2)-IF($C$78="x",4)-IF($I$78="x",1)-IF($I$77="x",2)-IF($I$90="x",2)+IF($I$83="x",2)-IF($C$76="x",4)-$C$112+IF(H283="x",1)+I283+$M$77+IF(H285="x",1)+IF(J285="x",1)+IF($M$76="x",2)+J283+IF($M$85="x",1)+IF($M$113="x",1)+IF($M$120="x",2)+IF($M$119="x",2)+IF($M$105="x",1)+IF($M$110="x",1)+IF($M$111="x",2)+IF($M$112="x",4)+IF($M$108="x",1)-IF($M$109="x",1)-IF($M$99="x",1)+IF($M$90="x",1)-10-8,
$B$3&gt;=16,
SUM($C$3,$I$3)+IF(H287="x",1)+$I$16-$B$10+$M$94+IF($C$77="x",2)-IF($C$78="x",4)-IF($I$78="x",1)-IF($I$77="x",2)-IF($I$90="x",2)+IF($I$83="x",2)-IF($C$76="x",4)-$C$112+IF(H283="x",1)+I283+$M$77+IF(H285="x",1)+IF(J285="x",1)+IF($M$76="x",2)+J283+IF($M$85="x",1)+IF($M$113="x",1)+IF($M$120="x",2)+IF($M$119="x",2)+IF($M$105="x",1)+IF($M$110="x",1)+IF($M$111="x",2)+IF($M$112="x",4)+IF($M$108="x",1)-IF($M$109="x",1)-IF($M$99="x",1)+IF($M$90="x",1)-8
&amp;"/"&amp;SUM($C$3,$I$3)+IF(H287="x",1)+$I$16-$B$10+$M$94+IF($C$77="x",2)-IF($C$78="x",4)-IF($I$78="x",1)-IF($I$77="x",2)-IF($I$90="x",2)+IF($I$83="x",2)-IF($C$76="x",4)-$C$112+IF(H283="x",1)+I283+$M$77+IF(H285="x",1)+IF(J285="x",1)+IF($M$76="x",2)+J283+IF($M$85="x",1)+IF($M$113="x",1)+IF($M$120="x",2)+IF($M$119="x",2)+IF($M$105="x",1)+IF($M$110="x",1)+IF($M$111="x",2)+IF($M$112="x",4)+IF($M$108="x",1)-IF($M$109="x",1)-IF($M$99="x",1)+IF($M$90="x",1)-5-8
&amp;"/"&amp;SUM($C$3,$I$3)+IF(H287="x",1)+$I$16-$B$10+$M$94+IF($C$77="x",2)-IF($C$78="x",4)-IF($I$78="x",1)-IF($I$77="x",2)-IF($I$90="x",2)+IF($I$83="x",2)-IF($C$76="x",4)-$C$112+IF(H283="x",1)+I283+$M$77+IF(H285="x",1)+IF(J285="x",1)+IF($M$76="x",2)+J283+IF($M$85="x",1)+IF($M$113="x",1)+IF($M$120="x",2)+IF($M$119="x",2)+IF($M$105="x",1)+IF($M$110="x",1)+IF($M$111="x",2)+IF($M$112="x",4)+IF($M$108="x",1)-IF($M$109="x",1)-IF($M$99="x",1)+IF($M$90="x",1)-10-8
&amp;"/"&amp;SUM($C$3,$I$3)+IF(H287="x",1)+$I$16-$B$10+$M$94+IF($C$77="x",2)-IF($C$78="x",4)-IF($I$78="x",1)-IF($I$77="x",2)-IF($I$90="x",2)+IF($I$83="x",2)-IF($C$76="x",4)-$C$112+IF(H283="x",1)+I283+$M$77+IF(H285="x",1)+IF(J285="x",1)+IF($M$76="x",2)+J283+IF($M$85="x",1)+IF($M$113="x",1)+IF($M$120="x",2)+IF($M$119="x",2)+IF($M$105="x",1)+IF($M$110="x",1)+IF($M$111="x",2)+IF($M$112="x",4)+IF($M$108="x",1)-IF($M$109="x",1)-IF($M$99="x",1)+IF($M$90="x",1)-15-8)</f>
        <v>-8</v>
      </c>
      <c r="C293" s="135"/>
      <c r="D293" s="136"/>
      <c r="E293" s="135"/>
      <c r="F293" s="135"/>
      <c r="G293" s="82" t="str">
        <f>(IF($I$89="x","50 %","")&amp;(IF($C$81="x","20 %",""))&amp;(IF($C$82="x","50 %","")))</f>
        <v/>
      </c>
      <c r="H293" s="131"/>
      <c r="I293" s="131"/>
      <c r="J293" s="131"/>
      <c r="K293" s="131"/>
      <c r="AB293" s="56"/>
      <c r="AC293" s="51"/>
      <c r="AD293" s="49"/>
      <c r="AE293" s="51"/>
      <c r="AF293" s="49"/>
      <c r="AG293" s="40"/>
      <c r="AH293" s="49"/>
      <c r="AI293" s="40"/>
      <c r="AJ293" s="40"/>
      <c r="AK293" s="40"/>
      <c r="AL293" s="40"/>
    </row>
    <row r="294" spans="1:38" x14ac:dyDescent="0.2">
      <c r="B294" s="15"/>
      <c r="C294" s="15"/>
      <c r="D294" s="15"/>
      <c r="F294" s="15"/>
      <c r="G294" s="15"/>
      <c r="H294" s="15"/>
      <c r="I294" s="15"/>
      <c r="AB294" s="56"/>
      <c r="AC294" s="49"/>
      <c r="AD294" s="49"/>
      <c r="AE294" s="51"/>
      <c r="AF294" s="49"/>
      <c r="AG294" s="40"/>
      <c r="AH294" s="49"/>
      <c r="AI294" s="48"/>
      <c r="AJ294" s="57"/>
      <c r="AK294" s="57"/>
      <c r="AL294" s="57"/>
    </row>
    <row r="295" spans="1:38" x14ac:dyDescent="0.2">
      <c r="B295" s="15"/>
      <c r="C295" s="15"/>
      <c r="D295" s="15"/>
      <c r="F295" s="15"/>
      <c r="G295" s="15"/>
      <c r="H295" s="15"/>
      <c r="I295" s="15"/>
      <c r="AB295" s="52"/>
      <c r="AC295" s="53"/>
      <c r="AD295" s="54"/>
      <c r="AE295" s="53"/>
      <c r="AF295" s="54"/>
      <c r="AG295" s="54"/>
      <c r="AH295" s="54"/>
      <c r="AI295" s="40"/>
      <c r="AJ295" s="60"/>
      <c r="AK295" s="57"/>
      <c r="AL295" s="61"/>
    </row>
    <row r="296" spans="1:38" x14ac:dyDescent="0.2">
      <c r="A296" s="34" t="s">
        <v>310</v>
      </c>
      <c r="B296" s="130" t="s">
        <v>1</v>
      </c>
      <c r="C296" s="130" t="s">
        <v>2</v>
      </c>
      <c r="D296" s="130" t="s">
        <v>3</v>
      </c>
      <c r="E296" s="130" t="s">
        <v>229</v>
      </c>
      <c r="F296" s="130" t="s">
        <v>3</v>
      </c>
      <c r="G296" s="130" t="s">
        <v>45</v>
      </c>
      <c r="H296" s="14" t="s">
        <v>179</v>
      </c>
      <c r="I296" s="130" t="s">
        <v>242</v>
      </c>
      <c r="J296" s="130" t="s">
        <v>224</v>
      </c>
      <c r="K296" s="130" t="s">
        <v>225</v>
      </c>
    </row>
    <row r="297" spans="1:38" x14ac:dyDescent="0.2">
      <c r="A297" s="131" t="s">
        <v>219</v>
      </c>
      <c r="B297" s="12">
        <f>IF($I$85="x","PAINISSA",IF($C$3&lt;=5,SUM($C$3,$I$2)-$C$120+IF($C$75="x",2)+$I$16-$B$10+$M$94+IF($C$77="x",2)-IF($C$78="x",4)-IF($I$78="x",1)-IF($C$79="x",4)+IF($C$80="x",1)-IF($I$77="x",2)-IF($I$90="x",2)+IF($I$83="x",2)-IF($C$75="x",4)-$C$112+IF(H297="x",1)+I297+$M$77+IF(H299="x",1)+IF(J299="x",1)+IF($M$76="x",2)+J297+IF($M$85="x",1)+IF($M$113="x",1)+IF($M$120="x",2)+IF($M$119="x",2)+IF($M$105="x",1)+IF($M$110="x",1)+IF($M$111="x",2)+IF($M$112="x",4)+IF($M$108="x",1)-IF($M$109="x",1)-IF($M$99="x",1)+IF($M$90="x",1),
IF(AND($C$3&gt;5,$C$3&lt;11),SUM($C$3,$I$2)-$C$120+IF($C$75="x",2)+$I$16-$B$10+$M$94+IF($C$77="x",2)-IF($C$78="x",4)-IF($I$78="x",1)-IF($C$79="x",4)+IF($C$80="x",1)-IF($I$77="x",2)-IF($I$90="x",2)+IF($I$83="x",2)-IF($C$83="x",4)-$C$112+IF(H297="x",1)+I297+$M$77+IF(H299="x",1)+IF(J299="x",1)+IF($M$76="x",2)+J297+IF($M$85="x",1)+IF($M$113="x",1)+IF($M$120="x",2)+IF($M$119="x",2)+IF($M$105="x",1)+IF($M$110="x",1)+IF($M$111="x",2)+IF($M$112="x",4)+IF($M$108="x",1)-IF($M$109="x",1)-IF($M$99="x",1)+IF($M$90="x",1)
&amp;"/"&amp;SUM($C$3,$I$2)-$C$120+IF($C$75="x",2)+$I$16-$B$10+$M$94+IF($C$77="x",2)-IF($C$78="x",4)-IF($I$78="x",1)-IF($C$79="x",4)+IF($C$80="x",1)-IF($I$77="x",2)-IF($I$90="x",2)+IF($I$83="x",2)-IF($C$83="x",4)-$C$112-5+IF(H297="x",1)+I297+$M$77+IF(H299="x",1)+IF(J299="x",1)+IF($M$76="x",2)+J297+IF($M$85="x",1)+IF($M$113="x",1)+IF($M$120="x",2)+IF($M$119="x",2)+IF($M$105="x",1)+IF($M$110="x",1)+IF($M$111="x",2)+IF($M$112="x",4)+IF($M$108="x",1)-IF($M$109="x",1)-IF($M$99="x",1)+IF($M$90="x",1),
IF(AND($C$3&gt;10,$C$3&lt;16),SUM($C$3,$I$2)-$C$120+IF($C$75="x",2)+$I$16-$B$10+$M$94+IF($C$77="x",2)-IF($C$78="x",4)-IF($I$78="x",1)-IF($C$79="x",4)+IF($C$80="x",1)-IF($I$77="x",2)-IF($I$90="x",2)+IF($I$83="x",2)-IF($C$83="x",4)-$C$112+IF(H297="x",1)+I297+$M$77+IF(H299="x",1)+IF(J299="x",1)+IF($M$76="x",2)+J297+IF($M$85="x",1)+IF($M$113="x",1)+IF($M$120="x",2)+IF($M$119="x",2)+IF($M$105="x",1)+IF($M$110="x",1)+IF($M$111="x",2)+IF($M$112="x",4)+IF($M$108="x",1)-IF($M$109="x",1)+IF($M$99="x",20)-IF($M$99="x",1)+IF($M$90="x",1)
&amp;"/"&amp;SUM($C$3,$I$2)-$C$120+IF($C$75="x",2)+$I$16-$B$10+$M$94+IF($C$77="x",2)-IF($C$78="x",4)-IF($I$78="x",1)-IF($C$79="x",4)+IF($C$80="x",1)-IF($I$77="x",2)-IF($I$90="x",2)+IF($I$83="x",2)-IF($C$83="x",4)-$C$112-5+IF(H771="x",1)+IF(H297="x",1)+I297+$M$77+IF(H299="x",1)+IF(J299="x",1)+IF($M$76="x",2)+J297+IF($M$85="x",1)+IF($M$113="x",1)+IF($M$120="x",2)+IF($M$119="x",2)+IF($M$105="x",1)+IF($M$110="x",1)+IF($M$111="x",2)+IF($M$112="x",4)+IF($M$108="x",1)-IF($M$109="x",1)-IF($M$99="x",1)+IF($M$90="x",1)
&amp;"/"&amp;SUM($C$3,$I$2)-$C$120+IF($C$75="x",2)+$I$16-$B$10+$M$94+IF($C$77="x",2)-IF($C$78="x",4)-IF($I$78="x",1)-IF($C$79="x",4)+IF($C$80="x",1)-IF($I$77="x",2)-IF($I$90="x",2)+IF($I$83="x",2)-IF($C$83="x",4)-$C$112-10+IF(H771="x",1)+IF(H297="x",1)+I297+$M$77+IF(H299="x",1)+IF(J299="x",1)+IF($M$76="x",2)+J297+IF($M$85="x",1)+IF($M$113="x",1)+IF($M$120="x",2)+IF($M$119="x",2)+IF($M$105="x",1)+IF($M$110="x",1)+IF($M$111="x",2)+IF($M$112="x",4)+IF($M$108="x",1)-IF($M$109="x",1)-IF($M$99="x",1)+IF($M$90="x",1),
IF(AND($C$3&gt;15),SUM($C$3,$I$2)-$C$120+IF($C$75="x",2)+$I$16-$B$10+$M$94+IF($C$77="x",2)-IF($C$78="x",4)-IF($I$78="x",1)-IF($C$79="x",4)+IF($C$80="x",1)-IF($I$77="x",2)-IF($I$90="x",2)+IF($I$83="x",2)-IF($C$83="x",4)-$C$112+IF(H297="x",1)+I297+$M$77+IF(H299="x",1)+IF(J299="x",1)+IF($M$76="x",2)+J297+IF($M$85="x",1)+IF($M$113="x",1)+IF($M$120="x",2)+IF($M$119="x",2)+IF($M$105="x",1)+IF($M$110="x",1)+IF($M$111="x",2)+IF($M$112="x",4)+IF($M$108="x",1)-IF($M$109="x",1)-IF($M$99="x",1)+IF($M$90="x",1)
&amp;"/"&amp;SUM($C$3,$I$2)-$C$120+IF($C$75="x",2)+$I$16-$B$10+$M$94+IF($C$77="x",2)-IF($C$78="x",4)-IF($I$78="x",1)-IF($C$79="x",4)+IF($C$80="x",1)-IF($I$77="x",2)-IF($I$90="x",2)+IF($I$83="x",2)-IF($C$83="x",4)-$C$112-5+IF(H771="x",1)+IF(H297="x",1)+I297+$M$77+IF(H299="x",1)+IF(J299="x",1)+IF($M$76="x",2)+J297+IF($M$85="x",1)+IF($M$113="x",1)+IF($M$120="x",2)+IF($M$119="x",2)+IF($M$105="x",1)+IF($M$110="x",1)+IF($M$111="x",2)+IF($M$112="x",4)+IF($M$108="x",1)-IF($M$109="x",1)-IF($M$99="x",1)+IF($M$90="x",1)
&amp;"/"&amp;SUM($C$3,$I$2)-$C$120+IF($C$75="x",2)+$I$16-$B$10+$M$94+IF($C$77="x",2)-IF($C$78="x",4)-IF($I$78="x",1)-IF($C$79="x",4)+IF($C$80="x",1)-IF($I$77="x",2)-IF($I$90="x",2)+IF($I$83="x",2)-IF($C$83="x",4)-$C$112-10+IF(H771="x",1)+IF(H297="x",1)+I297+$M$77+IF(H299="x",1)+IF(J299="x",1)+IF($M$76="x",2)+J297+IF($M$85="x",1)+IF($M$113="x",1)+IF($M$120="x",2)+IF($M$119="x",2)+IF($M$105="x",1)+IF($M$110="x",1)+IF($M$111="x",2)+IF($M$112="x",4)+IF($M$108="x",1)-IF($M$109="x",1)-IF($M$99="x",1)+IF($M$90="x",1)
&amp;"/"&amp;SUM($C$3,$I$2)-$C$120+IF($C$75="x",2)+$I$16-$B$10+$M$94+IF($C$77="x",2)-IF($C$78="x",4)-IF($I$78="x",1)-IF($C$79="x",4)+IF($C$80="x",1)-IF($I$77="x",2)-IF($I$90="x",2)+IF($I$83="x",2)-IF($C$83="x",4)-$C$112-15+IF(H771="x",1)+IF(H297="x",1)+I297+$M$77+IF(H299="x",1)+IF(J299="x",1)+IF($M$76="x",2)+J297+IF($M$85="x",1)+IF($M$113="x",1)+IF($M$120="x",2)+IF($M$119="x",2)+IF($M$105="x",1)+IF($M$110="x",1)+IF($M$111="x",2)+IF($M$112="x",4)+IF($M$108="x",1)-IF($M$109="x",1)-IF($M$99="x",1)+IF($M$90="x",1))))))</f>
        <v>0</v>
      </c>
      <c r="C297" s="49" t="str">
        <f>_xlfn.IFS($C$7="Minimaalinen","1",$C$7="Taskukokoinen","1n2",$C$7="Hyvin pieni","1n3",$C$7="Pieni","1n4",$C$7="Keskikokoinen","1n6",$C$7="Iso","1n8",$C$7="Valtava","2n6",$C$7="Suunnaton","3n6",$C$7="Giganttinen","4n6")</f>
        <v>1n6</v>
      </c>
      <c r="D297" s="132">
        <f>SUM($I$2+$C$120)+I297+$M$77+IF(I299="x",2)+IF(K299="x",2)+IF($M$119="x",2)+IF($M$108="x",1)+$M$94-IF($M$109="x",1)+K297</f>
        <v>0</v>
      </c>
      <c r="E297" s="49" t="str">
        <f>_xlfn.IFS($C$7="Minimaalinen","2",$C$7="Taskukokoinen","2n2",$C$7="Hyvin pieni","2n3",$C$7="Pieni","2n4",$C$7="Keskikokoinen","2n6",$C$7="Iso","2n8",$C$7="Valtava","4n6",$C$7="Suunnaton","6n6",$C$7="Giganttinen","8n6")</f>
        <v>2n6</v>
      </c>
      <c r="F297" s="12">
        <f>SUM(D297*2)</f>
        <v>0</v>
      </c>
      <c r="G297" s="12" t="str">
        <f>(IF($I$89="x","50 %","")&amp;(IF($C$81="x","20 %",""))&amp;(IF($C$82="x","50 %","")))</f>
        <v/>
      </c>
      <c r="H297" s="28"/>
      <c r="I297" s="17">
        <v>0</v>
      </c>
      <c r="J297" s="17">
        <v>0</v>
      </c>
      <c r="K297" s="17">
        <v>0</v>
      </c>
    </row>
    <row r="298" spans="1:38" x14ac:dyDescent="0.2">
      <c r="A298" s="58" t="s">
        <v>8</v>
      </c>
      <c r="B298" s="119">
        <f>IF($I$85="x","PAINISSA",IF($C$3&lt;=5,SUM($C$3,$I$2)-$C$120+IF($C$75="x",2)+$I$16-$B$10+$M$94+IF($C$77="x",2)-IF($C$78="x",4)-IF($I$78="x",1)-IF($C$79="x",4)+IF($C$80="x",1)-IF($I$77="x",2)-IF($I$90="x",2)+IF($I$83="x",2)-IF($C$75="x",4)-$C$112+IF(H297="x",1)+I297+$M$77+IF(H299="x",1)+IF(J299="x",1)+IF($M$76="x",2)+J297+IF($M$85="x",1)+IF($M$113="x",1)+IF($M$120="x",2)+IF($M$119="x",2)+IF($M$105="x",1)+IF($M$110="x",1)+IF($M$111="x",2)+IF($M$112="x",4)+IF($M$108="x",1)-IF($M$109="x",1)-IF($M$99="x",1)+IF($M$90="x",1),
IF(AND($C$3&gt;5,$C$3&lt;11),SUM($C$3,$I$2)-$C$120+IF($C$75="x",2)+$I$16-$B$10+$M$94+IF($C$77="x",2)-IF($C$78="x",4)-IF($I$78="x",1)-IF($C$79="x",4)+IF($C$80="x",1)-IF($I$77="x",2)-IF($I$90="x",2)+IF($I$83="x",2)-IF($C$83="x",4)-$C$112+IF(H297="x",1)+I297+$M$77+IF(H299="x",1)+IF(J299="x",1)+IF($M$76="x",2)+J297+IF($M$85="x",1)+IF($M$113="x",1)+IF($M$120="x",2)+IF($M$119="x",2)+IF($M$105="x",1)+IF($M$110="x",1)+IF($M$111="x",2)+IF($M$112="x",4)+IF($M$108="x",1)-IF($M$109="x",1)-IF($M$99="x",1)+IF($M$90="x",1)
&amp;"/"&amp;SUM($C$3,$I$2)-$C$120+IF($C$75="x",2)+$I$16-$B$10+$M$94+IF($C$77="x",2)-IF($C$78="x",4)-IF($I$78="x",1)-IF($C$79="x",4)+IF($C$80="x",1)-IF($I$77="x",2)-IF($I$90="x",2)+IF($I$83="x",2)-IF($C$83="x",4)-$C$112-5+IF(H297="x",1)+I297+$M$77+IF(H299="x",1)+IF(J299="x",1)+IF($M$76="x",2)+J297+IF($M$85="x",1)+IF($M$113="x",1)+IF($M$120="x",2)+IF($M$119="x",2)+IF($M$105="x",1)+IF($M$110="x",1)+IF($M$111="x",2)+IF($M$112="x",4)+IF($M$108="x",1)-IF($M$109="x",1)-IF($M$99="x",1)+IF($M$90="x",1),
IF(AND($C$3&gt;10,$C$3&lt;16),SUM($C$3,$I$2)-$C$120+IF($C$75="x",2)+$I$16-$B$10+$M$94+IF($C$77="x",2)-IF($C$78="x",4)-IF($I$78="x",1)-IF($C$79="x",4)+IF($C$80="x",1)-IF($I$77="x",2)-IF($I$90="x",2)+IF($I$83="x",2)-IF($C$83="x",4)-$C$112+IF(H297="x",1)+I297+$M$77+IF(H299="x",1)+IF(J299="x",1)+IF($M$76="x",2)+J297+IF($M$85="x",1)+IF($M$113="x",1)+IF($M$120="x",2)+IF($M$119="x",2)+IF($M$105="x",1)+IF($M$110="x",1)+IF($M$111="x",2)+IF($M$112="x",4)+IF($M$108="x",1)-IF($M$109="x",1)+IF($M$99="x",20)-IF($M$99="x",1)+IF($M$90="x",1)
&amp;"/"&amp;SUM($C$3,$I$2)-$C$120+IF($C$75="x",2)+$I$16-$B$10+$M$94+IF($C$77="x",2)-IF($C$78="x",4)-IF($I$78="x",1)-IF($C$79="x",4)+IF($C$80="x",1)-IF($I$77="x",2)-IF($I$90="x",2)+IF($I$83="x",2)-IF($C$83="x",4)-$C$112-5+IF(H771="x",1)+IF(H297="x",1)+I297+$M$77+IF(H299="x",1)+IF(J299="x",1)+IF($M$76="x",2)+J297+IF($M$85="x",1)+IF($M$113="x",1)+IF($M$120="x",2)+IF($M$119="x",2)+IF($M$105="x",1)+IF($M$110="x",1)+IF($M$111="x",2)+IF($M$112="x",4)+IF($M$108="x",1)-IF($M$109="x",1)-IF($M$99="x",1)+IF($M$90="x",1)
&amp;"/"&amp;SUM($C$3,$I$2)-$C$120+IF($C$75="x",2)+$I$16-$B$10+$M$94+IF($C$77="x",2)-IF($C$78="x",4)-IF($I$78="x",1)-IF($C$79="x",4)+IF($C$80="x",1)-IF($I$77="x",2)-IF($I$90="x",2)+IF($I$83="x",2)-IF($C$83="x",4)-$C$112-10+IF(H771="x",1)+IF(H297="x",1)+I297+$M$77+IF(H299="x",1)+IF(J299="x",1)+IF($M$76="x",2)+J297+IF($M$85="x",1)+IF($M$113="x",1)+IF($M$120="x",2)+IF($M$119="x",2)+IF($M$105="x",1)+IF($M$110="x",1)+IF($M$111="x",2)+IF($M$112="x",4)+IF($M$108="x",1)-IF($M$109="x",1)-IF($M$99="x",1)+IF($M$90="x",1),
IF(AND($C$3&gt;15),SUM($C$3,$I$2)-$C$120+IF($C$75="x",2)+$I$16-$B$10+$M$94+IF($C$77="x",2)-IF($C$78="x",4)-IF($I$78="x",1)-IF($C$79="x",4)+IF($C$80="x",1)-IF($I$77="x",2)-IF($I$90="x",2)+IF($I$83="x",2)-IF($C$83="x",4)-$C$112+IF(H297="x",1)+I297+$M$77+IF(H299="x",1)+IF(J299="x",1)+IF($M$76="x",2)+J297+IF($M$85="x",1)+IF($M$113="x",1)+IF($M$120="x",2)+IF($M$119="x",2)+IF($M$105="x",1)+IF($M$110="x",1)+IF($M$111="x",2)+IF($M$112="x",4)+IF($M$108="x",1)-IF($M$109="x",1)-IF($M$99="x",1)+IF($M$90="x",1)
&amp;"/"&amp;SUM($C$3,$I$2)-$C$120+IF($C$75="x",2)+$I$16-$B$10+$M$94+IF($C$77="x",2)-IF($C$78="x",4)-IF($I$78="x",1)-IF($C$79="x",4)+IF($C$80="x",1)-IF($I$77="x",2)-IF($I$90="x",2)+IF($I$83="x",2)-IF($C$83="x",4)-$C$112-5+IF(H771="x",1)+IF(H297="x",1)+I297+$M$77+IF(H299="x",1)+IF(J299="x",1)+IF($M$76="x",2)+J297+IF($M$85="x",1)+IF($M$113="x",1)+IF($M$120="x",2)+IF($M$119="x",2)+IF($M$105="x",1)+IF($M$110="x",1)+IF($M$111="x",2)+IF($M$112="x",4)+IF($M$108="x",1)-IF($M$109="x",1)-IF($M$99="x",1)+IF($M$90="x",1)
&amp;"/"&amp;SUM($C$3,$I$2)-$C$120+IF($C$75="x",2)+$I$16-$B$10+$M$94+IF($C$77="x",2)-IF($C$78="x",4)-IF($I$78="x",1)-IF($C$79="x",4)+IF($C$80="x",1)-IF($I$77="x",2)-IF($I$90="x",2)+IF($I$83="x",2)-IF($C$83="x",4)-$C$112-10+IF(H771="x",1)+IF(H297="x",1)+I297+$M$77+IF(H299="x",1)+IF(J299="x",1)+IF($M$76="x",2)+J297+IF($M$85="x",1)+IF($M$113="x",1)+IF($M$120="x",2)+IF($M$119="x",2)+IF($M$105="x",1)+IF($M$110="x",1)+IF($M$111="x",2)+IF($M$112="x",4)+IF($M$108="x",1)-IF($M$109="x",1)-IF($M$99="x",1)+IF($M$90="x",1)
&amp;"/"&amp;SUM($C$3,$I$2)-$C$120+IF($C$75="x",2)+$I$16-$B$10+$M$94+IF($C$77="x",2)-IF($C$78="x",4)-IF($I$78="x",1)-IF($C$79="x",4)+IF($C$80="x",1)-IF($I$77="x",2)-IF($I$90="x",2)+IF($I$83="x",2)-IF($C$83="x",4)-$C$112-15+IF(H771="x",1)+IF(H297="x",1)+I297+$M$77+IF(H299="x",1)+IF(J299="x",1)+IF($M$76="x",2)+J297+IF($M$85="x",1)+IF($M$113="x",1)+IF($M$120="x",2)+IF($M$119="x",2)+IF($M$105="x",1)+IF($M$110="x",1)+IF($M$111="x",2)+IF($M$112="x",4)+IF($M$108="x",1)-IF($M$109="x",1)-IF($M$99="x",1)+IF($M$90="x",1))))))</f>
        <v>0</v>
      </c>
      <c r="C298" s="114" t="str">
        <f>_xlfn.IFS($C$7="Minimaalinen","1",$C$7="Taskukokoinen","1n2",$C$7="Hyvin pieni","1n3",$C$7="Pieni","1n4",$C$7="Keskikokoinen","1n6",$C$7="Iso","1n8",$C$7="Valtava","2n6",$C$7="Suunnaton","3n6",$C$7="Giganttinen","4n6")</f>
        <v>1n6</v>
      </c>
      <c r="D298" s="119">
        <f>IF($I$2&lt;0,$I$2,INT($I$2*1.5))+($C$120*2)+I297+$M$77+IF(I299="x",2)+IF(K299="x",2)+IF($M$119="x",2)+IF($M$108="x",1)+$M$94-IF($M$109="x",1)+K297</f>
        <v>0</v>
      </c>
      <c r="E298" s="114" t="str">
        <f>_xlfn.IFS($C$7="Minimaalinen","2",$C$7="Taskukokoinen","2n2",$C$7="Hyvin pieni","2n3",$C$7="Pieni","2n4",$C$7="Keskikokoinen","2n6",$C$7="Iso","2n8",$C$7="Valtava","4n6",$C$7="Suunnaton","6n6",$C$7="Giganttinen","8n6")</f>
        <v>2n6</v>
      </c>
      <c r="F298" s="120">
        <f>SUM(D298*2)</f>
        <v>0</v>
      </c>
      <c r="G298" s="120" t="str">
        <f>(IF($I$89="x","50 %","")&amp;(IF($C$81="x","20 %",""))&amp;(IF($C$82="x","50 %","")))</f>
        <v/>
      </c>
      <c r="H298" s="14" t="s">
        <v>220</v>
      </c>
      <c r="I298" s="14" t="s">
        <v>221</v>
      </c>
      <c r="J298" s="14" t="s">
        <v>222</v>
      </c>
      <c r="K298" s="14" t="s">
        <v>223</v>
      </c>
      <c r="AB298" s="115"/>
      <c r="AC298" s="116"/>
      <c r="AD298" s="116"/>
      <c r="AE298" s="116"/>
      <c r="AF298" s="116"/>
      <c r="AG298" s="116"/>
      <c r="AH298" s="116"/>
      <c r="AI298" s="116"/>
      <c r="AJ298" s="116"/>
      <c r="AK298" s="116"/>
      <c r="AL298" s="116"/>
    </row>
    <row r="299" spans="1:38" x14ac:dyDescent="0.2">
      <c r="A299" s="133" t="s">
        <v>438</v>
      </c>
      <c r="B299" s="121">
        <f>IF($I$85="x","PAINISSA",IF($C$3&lt;=5,SUM($C$3,$I$2)-$C$120+IF($C$75="x",2)+$I$16-$B$10+$M$94+IF($C$77="x",2)-IF($C$78="x",4)-IF($I$78="x",1)-IF($C$79="x",4)+IF($C$80="x",1)-IF($I$77="x",2)-IF($I$90="x",2)+IF($I$83="x",2)-IF($C$75="x",4)-$C$112+IF(H297="x",1)+I297+$M$77+IF(H299="x",1)+IF(J299="x",1)+IF($M$76="x",2)+J297+IF($M$85="x",1)+IF($M$113="x",1)+IF($M$120="x",2)+IF($M$119="x",2)+IF($M$105="x",1)+IF($M$110="x",1)+IF($M$111="x",2)+IF($M$112="x",4)+IF($M$108="x",1)-IF($M$109="x",1)-IF($M$99="x",1)+IF($M$90="x",1)-IF($C$97="x",2,4),
IF(AND($C$3&gt;5,$C$3&lt;11),SUM($C$3,$I$2)-$C$120+IF($C$75="x",2)+$I$16-$B$10+$M$94+IF($C$77="x",2)-IF($C$78="x",4)-IF($I$78="x",1)-IF($C$79="x",4)+IF($C$80="x",1)-IF($I$77="x",2)-IF($I$90="x",2)+IF($I$83="x",2)-IF($C$83="x",4)-$C$112+IF(H297="x",1)+I297+$M$77+IF(H299="x",1)+IF(J299="x",1)+IF($M$76="x",2)+J297+IF($M$85="x",1)+IF($M$113="x",1)+IF($M$120="x",2)+IF($M$119="x",2)+IF($M$105="x",1)+IF($M$110="x",1)+IF($M$111="x",2)+IF($M$112="x",4)+IF($M$108="x",1)-IF($M$109="x",1)-IF($M$99="x",1)+IF($M$90="x",1)-IF($C$97="x",2,4)
&amp;"/"&amp;SUM($C$3,$I$2)-$C$120+IF($C$75="x",2)+$I$16-$B$10+$M$94+IF($C$77="x",2)-IF($C$78="x",4)-IF($I$78="x",1)-IF($C$79="x",4)+IF($C$80="x",1)-IF($I$77="x",2)-IF($I$90="x",2)+IF($I$83="x",2)-IF($C$83="x",4)-$C$112-5+IF(H297="x",1)+I297+$M$77+IF(H299="x",1)+IF(J299="x",1)+IF($M$76="x",2)+J297+IF($M$85="x",1)+IF($M$113="x",1)+IF($M$120="x",2)+IF($M$119="x",2)+IF($M$105="x",1)+IF($M$110="x",1)+IF($M$111="x",2)+IF($M$112="x",4)+IF($M$108="x",1)-IF($M$109="x",1)-IF($M$99="x",1)+IF($M$90="x",1)-IF($C$97="x",2,4),
IF(AND($C$3&gt;10,$C$3&lt;16),SUM($C$3,$I$2)-$C$120+IF($C$75="x",2)+$I$16-$B$10+$M$94+IF($C$77="x",2)-IF($C$78="x",4)-IF($I$78="x",1)-IF($C$79="x",4)+IF($C$80="x",1)-IF($I$77="x",2)-IF($I$90="x",2)+IF($I$83="x",2)-IF($C$83="x",4)-$C$112+IF(H297="x",1)+I297+$M$77+IF(H299="x",1)+IF(J299="x",1)+IF($M$76="x",2)+J297+IF($M$85="x",1)+IF($M$113="x",1)+IF($M$120="x",2)+IF($M$119="x",2)+IF($M$105="x",1)+IF($M$110="x",1)+IF($M$111="x",2)+IF($M$112="x",4)+IF($M$108="x",1)-IF($M$109="x",1)+IF($M$99="x",20)-IF($M$99="x",1)+IF($M$90="x",1)-IF($C$97="x",2,4)
&amp;"/"&amp;SUM($C$3,$I$2)-$C$120+IF($C$75="x",2)+$I$16-$B$10+$M$94+IF($C$77="x",2)-IF($C$78="x",4)-IF($I$78="x",1)-IF($C$79="x",4)+IF($C$80="x",1)-IF($I$77="x",2)-IF($I$90="x",2)+IF($I$83="x",2)-IF($C$83="x",4)-$C$112-5+IF(H771="x",1)+IF(H297="x",1)+I297+$M$77+IF(H299="x",1)+IF(J299="x",1)+IF($M$76="x",2)+J297+IF($M$85="x",1)+IF($M$113="x",1)+IF($M$120="x",2)+IF($M$119="x",2)+IF($M$105="x",1)+IF($M$110="x",1)+IF($M$111="x",2)+IF($M$112="x",4)+IF($M$108="x",1)-IF($M$109="x",1)-IF($M$99="x",1)+IF($M$90="x",1)-IF($C$97="x",2,4)
&amp;"/"&amp;SUM($C$3,$I$2)-$C$120+IF($C$75="x",2)+$I$16-$B$10+$M$94+IF($C$77="x",2)-IF($C$78="x",4)-IF($I$78="x",1)-IF($C$79="x",4)+IF($C$80="x",1)-IF($I$77="x",2)-IF($I$90="x",2)+IF($I$83="x",2)-IF($C$83="x",4)-$C$112-10+IF(H771="x",1)+IF(H297="x",1)+I297+$M$77+IF(H299="x",1)+IF(J299="x",1)+IF($M$76="x",2)+J297+IF($M$85="x",1)+IF($M$113="x",1)+IF($M$120="x",2)+IF($M$119="x",2)+IF($M$105="x",1)+IF($M$110="x",1)+IF($M$111="x",2)+IF($M$112="x",4)+IF($M$108="x",1)-IF($M$109="x",1)-IF($M$99="x",1)+IF($M$90="x",1)-IF($C$97="x",2,4),
IF(AND($C$3&gt;15),SUM($C$3,$I$2)-$C$120+IF($C$75="x",2)+$I$16-$B$10+$M$94+IF($C$77="x",2)-IF($C$78="x",4)-IF($I$78="x",1)-IF($C$79="x",4)+IF($C$80="x",1)-IF($I$77="x",2)-IF($I$90="x",2)+IF($I$83="x",2)-IF($C$83="x",4)-$C$112+IF(H297="x",1)+I297+$M$77+IF(H299="x",1)+IF(J299="x",1)+IF($M$76="x",2)+J297+IF($M$85="x",1)+IF($M$113="x",1)+IF($M$120="x",2)+IF($M$119="x",2)+IF($M$105="x",1)+IF($M$110="x",1)+IF($M$111="x",2)+IF($M$112="x",4)+IF($M$108="x",1)-IF($M$109="x",1)-IF($M$99="x",1)+IF($M$90="x",1)-IF($C$97="x",2,4)
&amp;"/"&amp;SUM($C$3,$I$2)-$C$120+IF($C$75="x",2)+$I$16-$B$10+$M$94+IF($C$77="x",2)-IF($C$78="x",4)-IF($I$78="x",1)-IF($C$79="x",4)+IF($C$80="x",1)-IF($I$77="x",2)-IF($I$90="x",2)+IF($I$83="x",2)-IF($C$83="x",4)-$C$112-5+IF(H771="x",1)+IF(H297="x",1)+I297+$M$77+IF(H299="x",1)+IF(J299="x",1)+IF($M$76="x",2)+J297+IF($M$85="x",1)+IF($M$113="x",1)+IF($M$120="x",2)+IF($M$119="x",2)+IF($M$105="x",1)+IF($M$110="x",1)+IF($M$111="x",2)+IF($M$112="x",4)+IF($M$108="x",1)-IF($M$109="x",1)-IF($M$99="x",1)+IF($M$90="x",1)-IF($C$97="x",2,4)
&amp;"/"&amp;SUM($C$3,$I$2)-$C$120+IF($C$75="x",2)+$I$16-$B$10+$M$94+IF($C$77="x",2)-IF($C$78="x",4)-IF($I$78="x",1)-IF($C$79="x",4)+IF($C$80="x",1)-IF($I$77="x",2)-IF($I$90="x",2)+IF($I$83="x",2)-IF($C$83="x",4)-$C$112-10+IF(H771="x",1)+IF(H297="x",1)+I297+$M$77+IF(H299="x",1)+IF(J299="x",1)+IF($M$76="x",2)+J297+IF($M$85="x",1)+IF($M$113="x",1)+IF($M$120="x",2)+IF($M$119="x",2)+IF($M$105="x",1)+IF($M$110="x",1)+IF($M$111="x",2)+IF($M$112="x",4)+IF($M$108="x",1)-IF($M$109="x",1)-IF($M$99="x",1)+IF($M$90="x",1)-IF($C$97="x",2,4)
&amp;"/"&amp;SUM($C$3,$I$2)-$C$120+IF($C$75="x",2)+$I$16-$B$10+$M$94+IF($C$77="x",2)-IF($C$78="x",4)-IF($I$78="x",1)-IF($C$79="x",4)+IF($C$80="x",1)-IF($I$77="x",2)-IF($I$90="x",2)+IF($I$83="x",2)-IF($C$83="x",4)-$C$112-15+IF(H771="x",1)+IF(H297="x",1)+I297+$M$77+IF(H299="x",1)+IF(J299="x",1)+IF($M$76="x",2)+J297+IF($M$85="x",1)+IF($M$113="x",1)+IF($M$120="x",2)+IF($M$119="x",2)+IF($M$105="x",1)+IF($M$110="x",1)+IF($M$111="x",2)+IF($M$112="x",4)+IF($M$108="x",1)-IF($M$109="x",1)-IF($M$99="x",1)+IF($M$90="x",1)-IF($C$97="x",2,4))))))</f>
        <v>-4</v>
      </c>
      <c r="C299" s="49" t="str">
        <f>_xlfn.IFS($C$7="Minimaalinen","1",$C$7="Taskukokoinen","1n2",$C$7="Hyvin pieni","1n3",$C$7="Pieni","1n4",$C$7="Keskikokoinen","1n6",$C$7="Iso","1n8",$C$7="Valtava","2n6",$C$7="Suunnaton","3n6",$C$7="Giganttinen","4n6")</f>
        <v>1n6</v>
      </c>
      <c r="D299" s="121">
        <f>SUM($I$2+$C$120)+I297+$M$77+IF(I299="x",2)+IF(K299="x",2)+IF($M$119="x",2)+IF($M$108="x",1)+$M$94-IF($M$109="x",1)+K297</f>
        <v>0</v>
      </c>
      <c r="E299" s="49" t="str">
        <f>_xlfn.IFS($C$7="Minimaalinen","2",$C$7="Taskukokoinen","2n2",$C$7="Hyvin pieni","2n3",$C$7="Pieni","2n4",$C$7="Keskikokoinen","2n6",$C$7="Iso","2n8",$C$7="Valtava","4n6",$C$7="Suunnaton","6n6",$C$7="Giganttinen","8n6")</f>
        <v>2n6</v>
      </c>
      <c r="F299" s="12">
        <f>SUM(D299*2)</f>
        <v>0</v>
      </c>
      <c r="G299" s="82" t="str">
        <f>(IF($I$89="x","50 %","")&amp;(IF($C$81="x","20 %",""))&amp;(IF($C$82="x","50 %","")))</f>
        <v/>
      </c>
      <c r="H299" s="28"/>
      <c r="I299" s="28"/>
      <c r="J299" s="28"/>
      <c r="K299" s="28"/>
      <c r="AB299" s="57"/>
      <c r="AC299" s="40"/>
      <c r="AD299" s="49"/>
      <c r="AE299" s="117"/>
      <c r="AF299" s="49"/>
      <c r="AG299" s="40"/>
      <c r="AH299" s="40"/>
      <c r="AI299" s="40"/>
      <c r="AJ299" s="40"/>
      <c r="AK299" s="40"/>
      <c r="AL299" s="40"/>
    </row>
    <row r="300" spans="1:38" x14ac:dyDescent="0.2">
      <c r="A300" s="133" t="s">
        <v>437</v>
      </c>
      <c r="B300" s="82">
        <f>IF($I$85="x","PAINISSA",IF($C$3&lt;=5,SUM($C$3,$I$2)-$C$120+IF($C$75="x",2)+$I$16-$B$10+$M$94+IF($C$77="x",2)-IF($C$78="x",4)-IF($I$78="x",1)-IF($C$79="x",4)+IF($C$80="x",1)-IF($I$77="x",2)-IF($I$90="x",2)+IF($I$83="x",2)-IF($C$75="x",4)-$C$112+IF(H297="x",1)+I297+$M$77+IF(H299="x",1)+IF(J299="x",1)+IF($M$76="x",2)+J297+IF($M$85="x",1)+IF($M$113="x",1)+IF($M$120="x",2)+IF($M$119="x",2)+IF($M$105="x",1)+IF($M$110="x",1)+IF($M$111="x",2)+IF($M$112="x",4)+IF($M$108="x",1)-IF($M$109="x",1)-IF($M$99="x",1)+IF($M$90="x",1)-IF($C$97="x",4,6),
IF(AND($C$3&gt;5,$C$3&lt;11),SUM($C$3,$I$2)-$C$120+IF($C$75="x",2)+$I$16-$B$10+$M$94+IF($C$77="x",2)-IF($C$78="x",4)-IF($I$78="x",1)-IF($C$79="x",4)+IF($C$80="x",1)-IF($I$77="x",2)-IF($I$90="x",2)+IF($I$83="x",2)-IF($C$83="x",4)-$C$112+IF(H297="x",1)+I297+$M$77+IF(H299="x",1)+IF(J299="x",1)+IF($M$76="x",2)+J297+IF($M$85="x",1)+IF($M$113="x",1)+IF($M$120="x",2)+IF($M$119="x",2)+IF($M$105="x",1)+IF($M$110="x",1)+IF($M$111="x",2)+IF($M$112="x",4)+IF($M$108="x",1)-IF($M$109="x",1)-IF($M$99="x",1)+IF($M$90="x",1)-IF($C$97="x",4,6)
&amp;"/"&amp;SUM($C$3,$I$2)-$C$120+IF($C$75="x",2)+$I$16-$B$10+$M$94+IF($C$77="x",2)-IF($C$78="x",4)-IF($I$78="x",1)-IF($C$79="x",4)+IF($C$80="x",1)-IF($I$77="x",2)-IF($I$90="x",2)+IF($I$83="x",2)-IF($C$83="x",4)-$C$112-5+IF(H297="x",1)+I297+$M$77+IF(H299="x",1)+IF(J299="x",1)+IF($M$76="x",2)+J297+IF($M$85="x",1)+IF($M$113="x",1)+IF($M$120="x",2)+IF($M$119="x",2)+IF($M$105="x",1)+IF($M$110="x",1)+IF($M$111="x",2)+IF($M$112="x",4)+IF($M$108="x",1)-IF($M$109="x",1)-IF($M$99="x",1)+IF($M$90="x",1)-IF($C$97="x",4,6),
IF(AND($C$3&gt;10,$C$3&lt;16),SUM($C$3,$I$2)-$C$120+IF($C$75="x",2)+$I$16-$B$10+$M$94+IF($C$77="x",2)-IF($C$78="x",4)-IF($I$78="x",1)-IF($C$79="x",4)+IF($C$80="x",1)-IF($I$77="x",2)-IF($I$90="x",2)+IF($I$83="x",2)-IF($C$83="x",4)-$C$112+IF(H297="x",1)+I297+$M$77+IF(H299="x",1)+IF(J299="x",1)+IF($M$76="x",2)+J297+IF($M$85="x",1)+IF($M$113="x",1)+IF($M$120="x",2)+IF($M$119="x",2)+IF($M$105="x",1)+IF($M$110="x",1)+IF($M$111="x",2)+IF($M$112="x",4)+IF($M$108="x",1)-IF($M$109="x",1)+IF($M$99="x",20)-IF($M$99="x",1)+IF($M$90="x",1)-IF($C$97="x",4,6)
&amp;"/"&amp;SUM($C$3,$I$2)-$C$120+IF($C$75="x",2)+$I$16-$B$10+$M$94+IF($C$77="x",2)-IF($C$78="x",4)-IF($I$78="x",1)-IF($C$79="x",4)+IF($C$80="x",1)-IF($I$77="x",2)-IF($I$90="x",2)+IF($I$83="x",2)-IF($C$83="x",4)-$C$112-5+IF(H771="x",1)+IF(H297="x",1)+I297+$M$77+IF(H299="x",1)+IF(J299="x",1)+IF($M$76="x",2)+J297+IF($M$85="x",1)+IF($M$113="x",1)+IF($M$120="x",2)+IF($M$119="x",2)+IF($M$105="x",1)+IF($M$110="x",1)+IF($M$111="x",2)+IF($M$112="x",4)+IF($M$108="x",1)-IF($M$109="x",1)-IF($M$99="x",1)+IF($M$90="x",1)-IF($C$97="x",4,6)
&amp;"/"&amp;SUM($C$3,$I$2)-$C$120+IF($C$75="x",2)+$I$16-$B$10+$M$94+IF($C$77="x",2)-IF($C$78="x",4)-IF($I$78="x",1)-IF($C$79="x",4)+IF($C$80="x",1)-IF($I$77="x",2)-IF($I$90="x",2)+IF($I$83="x",2)-IF($C$83="x",4)-$C$112-10+IF(H771="x",1)+IF(H297="x",1)+I297+$M$77+IF(H299="x",1)+IF(J299="x",1)+IF($M$76="x",2)+J297+IF($M$85="x",1)+IF($M$113="x",1)+IF($M$120="x",2)+IF($M$119="x",2)+IF($M$105="x",1)+IF($M$110="x",1)+IF($M$111="x",2)+IF($M$112="x",4)+IF($M$108="x",1)-IF($M$109="x",1)-IF($M$99="x",1)+IF($M$90="x",1)-IF($C$97="x",4,6),
IF(AND($C$3&gt;15),SUM($C$3,$I$2)-$C$120+IF($C$75="x",2)+$I$16-$B$10+$M$94+IF($C$77="x",2)-IF($C$78="x",4)-IF($I$78="x",1)-IF($C$79="x",4)+IF($C$80="x",1)-IF($I$77="x",2)-IF($I$90="x",2)+IF($I$83="x",2)-IF($C$83="x",4)-$C$112+IF(H297="x",1)+I297+$M$77+IF(H299="x",1)+IF(J299="x",1)+IF($M$76="x",2)+J297+IF($M$85="x",1)+IF($M$113="x",1)+IF($M$120="x",2)+IF($M$119="x",2)+IF($M$105="x",1)+IF($M$110="x",1)+IF($M$111="x",2)+IF($M$112="x",4)+IF($M$108="x",1)-IF($M$109="x",1)-IF($M$99="x",1)+IF($M$90="x",1)-IF($C$97="x",4,6)
&amp;"/"&amp;SUM($C$3,$I$2)-$C$120+IF($C$75="x",2)+$I$16-$B$10+$M$94+IF($C$77="x",2)-IF($C$78="x",4)-IF($I$78="x",1)-IF($C$79="x",4)+IF($C$80="x",1)-IF($I$77="x",2)-IF($I$90="x",2)+IF($I$83="x",2)-IF($C$83="x",4)-$C$112-5+IF(H771="x",1)+IF(H297="x",1)+I297+$M$77+IF(H299="x",1)+IF(J299="x",1)+IF($M$76="x",2)+J297+IF($M$85="x",1)+IF($M$113="x",1)+IF($M$120="x",2)+IF($M$119="x",2)+IF($M$105="x",1)+IF($M$110="x",1)+IF($M$111="x",2)+IF($M$112="x",4)+IF($M$108="x",1)-IF($M$109="x",1)-IF($M$99="x",1)+IF($M$90="x",1)-IF($C$97="x",4,6)
&amp;"/"&amp;SUM($C$3,$I$2)-$C$120+IF($C$75="x",2)+$I$16-$B$10+$M$94+IF($C$77="x",2)-IF($C$78="x",4)-IF($I$78="x",1)-IF($C$79="x",4)+IF($C$80="x",1)-IF($I$77="x",2)-IF($I$90="x",2)+IF($I$83="x",2)-IF($C$83="x",4)-$C$112-10+IF(H771="x",1)+IF(H297="x",1)+I297+$M$77+IF(H299="x",1)+IF(J299="x",1)+IF($M$76="x",2)+J297+IF($M$85="x",1)+IF($M$113="x",1)+IF($M$120="x",2)+IF($M$119="x",2)+IF($M$105="x",1)+IF($M$110="x",1)+IF($M$111="x",2)+IF($M$112="x",4)+IF($M$108="x",1)-IF($M$109="x",1)-IF($M$99="x",1)+IF($M$90="x",1)-IF($C$97="x",4,6)
&amp;"/"&amp;SUM($C$3,$I$2)-$C$120+IF($C$75="x",2)+$I$16-$B$10+$M$94+IF($C$77="x",2)-IF($C$78="x",4)-IF($I$78="x",1)-IF($C$79="x",4)+IF($C$80="x",1)-IF($I$77="x",2)-IF($I$90="x",2)+IF($I$83="x",2)-IF($C$83="x",4)-$C$112-15+IF(H771="x",1)+IF(H297="x",1)+I297+$M$77+IF(H299="x",1)+IF(J299="x",1)+IF($M$76="x",2)+J297+IF($M$85="x",1)+IF($M$113="x",1)+IF($M$120="x",2)+IF($M$119="x",2)+IF($M$105="x",1)+IF($M$110="x",1)+IF($M$111="x",2)+IF($M$112="x",4)+IF($M$108="x",1)-IF($M$109="x",1)-IF($M$99="x",1)+IF($M$90="x",1)-IF($C$97="x",4,6))))))</f>
        <v>-6</v>
      </c>
      <c r="C300" s="49" t="str">
        <f>_xlfn.IFS($C$7="Minimaalinen","1",$C$7="Taskukokoinen","1n2",$C$7="Hyvin pieni","1n3",$C$7="Pieni","1n4",$C$7="Keskikokoinen","1n6",$C$7="Iso","1n8",$C$7="Valtava","2n6",$C$7="Suunnaton","3n6",$C$7="Giganttinen","4n6")</f>
        <v>1n6</v>
      </c>
      <c r="D300" s="121">
        <f>SUM($I$2+$C$120)+I297+$M$77+IF(I299="x",2)+IF(K299="x",2)+IF($M$119="x",2)+IF($M$108="x",1)+$M$94-IF($M$109="x",1)+K297</f>
        <v>0</v>
      </c>
      <c r="E300" s="49" t="str">
        <f>_xlfn.IFS($C$7="Minimaalinen","2",$C$7="Taskukokoinen","2n2",$C$7="Hyvin pieni","2n3",$C$7="Pieni","2n4",$C$7="Keskikokoinen","2n6",$C$7="Iso","2n8",$C$7="Valtava","4n6",$C$7="Suunnaton","6n6",$C$7="Giganttinen","8n6")</f>
        <v>2n6</v>
      </c>
      <c r="F300" s="12">
        <f>SUM(D300*2)</f>
        <v>0</v>
      </c>
      <c r="G300" s="82" t="str">
        <f>(IF($I$89="x","50 %","")&amp;(IF($C$81="x","20 %",""))&amp;(IF($C$82="x","50 %","")))</f>
        <v/>
      </c>
      <c r="H300" s="11"/>
      <c r="I300" s="15"/>
      <c r="AB300" s="47"/>
      <c r="AC300" s="113"/>
      <c r="AD300" s="114"/>
      <c r="AE300" s="113"/>
      <c r="AF300" s="114"/>
      <c r="AG300" s="114"/>
      <c r="AH300" s="114"/>
      <c r="AI300" s="48"/>
      <c r="AJ300" s="48"/>
      <c r="AK300" s="48"/>
      <c r="AL300" s="48"/>
    </row>
    <row r="301" spans="1:38" x14ac:dyDescent="0.2">
      <c r="A301" s="122" t="s">
        <v>436</v>
      </c>
      <c r="B301" s="123">
        <f>IF($I$85="x","PAINISSA",IF(AND($C$90="",$C$118=""),SUM($C$3,$I$2)-$C$120+IF($C$75="x",2)+$I$16-$B$10+$M$94+IF($C$77="x",2)-IF($C$78="x",4)-IF($I$78="x",1)-IF($C$79="x",4)+IF($C$80="x",1)-IF($I$77="x",2)-IF($I$90="x",2)+IF($I$83="x",2)-IF($C$75="x",4)-$C$112+IF(H297="x",1)+I297+$M$77+IF(H299="x",1)+IF(J299="x",1)+IF($M$76="x",2)+J297+IF($M$85="x",1)+IF($M$113="x",1)+IF($M$120="x",2)+IF($M$119="x",2)+IF($M$105="x",1)+IF($M$110="x",1)+IF($M$111="x",2)+IF($M$112="x",4)+IF($M$108="x",1)-IF($M$109="x",1)-IF($M$99="x",1)+IF($M$90="x",1)-IF($C$97="x",4,10),
IF(AND($C$90="x",$C$118=""),SUM($C$3,$I$2)-$C$120+IF($C$75="x",2)+$I$16-$B$10+$M$94+IF($C$77="x",2)-IF($C$78="x",4)-IF($I$78="x",1)-IF($C$79="x",4)+IF($C$80="x",1)-IF($I$77="x",2)-IF($I$90="x",2)+IF($I$83="x",2)-IF($C$83="x",4)-$C$112+IF(H297="x",1)+I297+$M$77+IF(H299="x",1)+IF(J299="x",1)+IF($M$76="x",2)+J297+IF($M$85="x",1)+IF($M$113="x",1)+IF($M$120="x",2)+IF($M$119="x",2)+IF($M$105="x",1)+IF($M$110="x",1)+IF($M$111="x",2)+IF($M$112="x",4)+IF($M$108="x",1)-IF($M$109="x",1)-IF($M$99="x",1)+IF($M$90="x",1)-IF($C$97="x",4,10)
&amp;"/"&amp;SUM($C$3,$I$2)-$C$120+IF($C$75="x",2)+$I$16-$B$10+$M$94+IF($C$77="x",2)-IF($C$78="x",4)-IF($I$78="x",1)-IF($C$79="x",4)+IF($C$80="x",1)-IF($I$77="x",2)-IF($I$90="x",2)+IF($I$83="x",2)-IF($C$83="x",4)-$C$112+IF(H297="x",1)+I297+$M$77+IF(H299="x",1)+IF(J299="x",1)+IF($M$76="x",2)+J297+IF($M$85="x",1)+IF($M$113="x",1)+IF($M$120="x",2)+IF($M$119="x",2)+IF($M$105="x",1)+IF($M$110="x",1)+IF($M$111="x",2)+IF($M$112="x",4)+IF($M$108="x",1)-IF($M$109="x",1)-IF($M$99="x",1)+IF($M$90="x",1)-IF($C$97="x",4,10)-5,
IF(AND($C$90="x",$C$118="x"),SUM($C$3,$I$2)-$C$120+IF($C$75="x",2)+$I$16-$B$10+$M$94+IF($C$77="x",2)-IF($C$78="x",4)-IF($I$78="x",1)-IF($C$79="x",4)+IF($C$80="x",1)-IF($I$77="x",2)-IF($I$90="x",2)+IF($I$83="x",2)-IF($C$83="x",4)-$C$112+IF(H297="x",1)+I297+$M$77+IF(H299="x",1)+IF(J299="x",1)+IF($M$76="x",2)+J297+IF($M$85="x",1)+IF($M$113="x",1)+IF($M$120="x",2)+IF($M$119="x",2)+IF($M$105="x",1)+IF($M$110="x",1)+IF($M$111="x",2)+IF($M$112="x",4)+IF($M$108="x",1)-IF($M$109="x",1)+IF($M$99="x",20)-IF($M$99="x",1)+IF($M$90="x",1)-IF($C$97="x",4,10)
&amp;"/"&amp;SUM($C$3,$I$2)-$C$120+IF($C$75="x",2)+$I$16-$B$10+$M$94+IF($C$77="x",2)-IF($C$78="x",4)-IF($I$78="x",1)-IF($C$79="x",4)+IF($C$80="x",1)-IF($I$77="x",2)-IF($I$90="x",2)+IF($I$83="x",2)-IF($C$83="x",4)-$C$112-5+IF(H297="x",1)+I297+$M$77+IF(H299="x",1)+IF(J299="x",1)+IF($M$76="x",2)+J297+IF($M$85="x",1)+IF($M$113="x",1)+IF($M$120="x",2)+IF($M$119="x",2)+IF($M$105="x",1)+IF($M$110="x",1)+IF($M$111="x",2)+IF($M$112="x",4)+IF($M$108="x",1)-IF($M$109="x",1)-IF($M$99="x",1)+IF($M$90="x",1)-IF($C$97="x",4,10)
&amp;"/"&amp;SUM($C$3,$I$2)-$C$120+IF($C$75="x",2)+$I$16-$B$10+$M$94+IF($C$77="x",2)-IF($C$78="x",4)-IF($I$78="x",1)-IF($C$79="x",4)+IF($C$80="x",1)-IF($I$77="x",2)-IF($I$90="x",2)+IF($I$83="x",2)-IF($C$83="x",4)-$C$112-10+IF(H297="x",1)+I297+$M$77+IF(H299="x",1)+IF(J299="x",1)+IF($M$76="x",2)+J297+IF($M$85="x",1)+IF($M$113="x",1)+IF($M$120="x",2)+IF($M$119="x",2)+IF($M$105="x",1)+IF($M$110="x",1)+IF($M$111="x",2)+IF($M$112="x",4)+IF($M$108="x",1)-IF($M$109="x",1)-IF($M$99="x",1)+IF($M$90="x",1)-IF($C$97="x",4,10)))))</f>
        <v>-10</v>
      </c>
      <c r="C301" s="54" t="str">
        <f>_xlfn.IFS($C$7="Minimaalinen","1",$C$7="Taskukokoinen","1n2",$C$7="Hyvin pieni","1n3",$C$7="Pieni","1n4",$C$7="Keskikokoinen","1n6",$C$7="Iso","1n8",$C$7="Valtava","2n6",$C$7="Suunnaton","3n6",$C$7="Giganttinen","4n6")</f>
        <v>1n6</v>
      </c>
      <c r="D301" s="123">
        <f>INT($I$2/2)+($C$120)+I297+$M$77+IF(I299="x",2)+IF(K299="x",2)+IF($M$119="x",2)+IF($M$108="x",1)+$M$94+K297-IF($M$109="x",1)</f>
        <v>0</v>
      </c>
      <c r="E301" s="54" t="str">
        <f>_xlfn.IFS($C$7="Minimaalinen","2",$C$7="Taskukokoinen","2n2",$C$7="Hyvin pieni","2n3",$C$7="Pieni","2n4",$C$7="Keskikokoinen","2n6",$C$7="Iso","2n8",$C$7="Valtava","4n6",$C$7="Suunnaton","6n6",$C$7="Giganttinen","8n6")</f>
        <v>2n6</v>
      </c>
      <c r="F301" s="124">
        <f>SUM(D301*2)</f>
        <v>0</v>
      </c>
      <c r="G301" s="124" t="str">
        <f>(IF($I$89="x","50 %","")&amp;(IF($C$81="x","20 %",""))&amp;(IF($C$82="x","50 %","")))</f>
        <v/>
      </c>
      <c r="H301" s="40"/>
      <c r="K301" s="82"/>
      <c r="AB301" s="56"/>
      <c r="AC301" s="51"/>
      <c r="AD301" s="49"/>
      <c r="AE301" s="51"/>
      <c r="AF301" s="49"/>
      <c r="AG301" s="40"/>
      <c r="AH301" s="49"/>
      <c r="AI301" s="40"/>
      <c r="AJ301" s="40"/>
      <c r="AK301" s="40"/>
      <c r="AL301" s="40"/>
    </row>
    <row r="302" spans="1:38" x14ac:dyDescent="0.2">
      <c r="B302" s="15"/>
      <c r="C302" s="15"/>
      <c r="D302" s="15"/>
      <c r="F302" s="15"/>
      <c r="G302" s="15"/>
      <c r="H302" s="15"/>
      <c r="I302" s="15"/>
      <c r="AB302" s="56"/>
      <c r="AC302" s="49"/>
      <c r="AD302" s="49"/>
      <c r="AE302" s="51"/>
      <c r="AF302" s="49"/>
      <c r="AG302" s="40"/>
      <c r="AH302" s="49"/>
      <c r="AI302" s="48"/>
    </row>
    <row r="303" spans="1:38" x14ac:dyDescent="0.2">
      <c r="B303" s="15"/>
      <c r="C303" s="15"/>
      <c r="D303" s="15"/>
      <c r="F303" s="15"/>
      <c r="G303" s="15"/>
      <c r="H303" s="15"/>
      <c r="I303" s="15"/>
      <c r="AB303" s="52"/>
      <c r="AC303" s="53"/>
      <c r="AD303" s="54"/>
      <c r="AE303" s="53"/>
      <c r="AF303" s="54"/>
      <c r="AG303" s="54"/>
      <c r="AH303" s="54"/>
      <c r="AI303" s="40"/>
      <c r="AJ303" s="40"/>
      <c r="AL303" s="49"/>
    </row>
    <row r="304" spans="1:38" x14ac:dyDescent="0.2">
      <c r="A304" s="134" t="s">
        <v>312</v>
      </c>
      <c r="B304" s="130" t="s">
        <v>1</v>
      </c>
      <c r="C304" s="130" t="s">
        <v>2</v>
      </c>
      <c r="D304" s="130" t="s">
        <v>3</v>
      </c>
      <c r="E304" s="130" t="s">
        <v>229</v>
      </c>
      <c r="F304" s="130" t="s">
        <v>3</v>
      </c>
      <c r="G304" s="130" t="s">
        <v>45</v>
      </c>
      <c r="H304" s="14" t="s">
        <v>179</v>
      </c>
      <c r="I304" s="130" t="s">
        <v>242</v>
      </c>
      <c r="J304" s="130" t="s">
        <v>224</v>
      </c>
      <c r="K304" s="130" t="s">
        <v>225</v>
      </c>
    </row>
    <row r="305" spans="1:38" x14ac:dyDescent="0.2">
      <c r="A305" s="131" t="s">
        <v>219</v>
      </c>
      <c r="B305" s="12">
        <f>IF($I$85="x","PAINISSA",IF($C$3&lt;=5,SUM($C$3,$I$2)-$C$120+IF($C$75="x",2)+$I$16-$B$10+$M$94+IF($C$77="x",2)-IF($C$78="x",4)-IF($I$78="x",1)-IF($C$79="x",4)+IF($C$80="x",1)-IF($I$77="x",2)-IF($I$90="x",2)+IF($I$83="x",2)-IF($C$75="x",4)-$C$112+IF(H305="x",1)+I305+$M$77+IF(H307="x",1)+IF(J307="x",1)+IF($M$76="x",2)+J305+IF($M$85="x",1)+IF($M$113="x",1)+IF($M$120="x",2)+IF($M$119="x",2)+IF($M$105="x",1)+IF($M$110="x",1)+IF($M$111="x",2)+IF($M$112="x",4)+IF($M$108="x",1)-IF($M$109="x",1)-IF($M$99="x",1)+IF($M$90="x",1),
IF(AND($C$3&gt;5,$C$3&lt;11),SUM($C$3,$I$2)-$C$120+IF($C$75="x",2)+$I$16-$B$10+$M$94+IF($C$77="x",2)-IF($C$78="x",4)-IF($I$78="x",1)-IF($C$79="x",4)+IF($C$80="x",1)-IF($I$77="x",2)-IF($I$90="x",2)+IF($I$83="x",2)-IF($C$83="x",4)-$C$112+IF(H305="x",1)+I305+$M$77+IF(H307="x",1)+IF(J307="x",1)+IF($M$76="x",2)+J305+IF($M$85="x",1)+IF($M$113="x",1)+IF($M$120="x",2)+IF($M$119="x",2)+IF($M$105="x",1)+IF($M$110="x",1)+IF($M$111="x",2)+IF($M$112="x",4)+IF($M$108="x",1)-IF($M$109="x",1)-IF($M$99="x",1)+IF($M$90="x",1)
&amp;"/"&amp;SUM($C$3,$I$2)-$C$120+IF($C$75="x",2)+$I$16-$B$10+$M$94+IF($C$77="x",2)-IF($C$78="x",4)-IF($I$78="x",1)-IF($C$79="x",4)+IF($C$80="x",1)-IF($I$77="x",2)-IF($I$90="x",2)+IF($I$83="x",2)-IF($C$83="x",4)-$C$112-5+IF(H305="x",1)+I305+$M$77+IF(H307="x",1)+IF(J307="x",1)+IF($M$76="x",2)+J305+IF($M$85="x",1)+IF($M$113="x",1)+IF($M$120="x",2)+IF($M$119="x",2)+IF($M$105="x",1)+IF($M$110="x",1)+IF($M$111="x",2)+IF($M$112="x",4)+IF($M$108="x",1)-IF($M$109="x",1)-IF($M$99="x",1)+IF($M$90="x",1),
IF(AND($C$3&gt;10,$C$3&lt;16),SUM($C$3,$I$2)-$C$120+IF($C$75="x",2)+$I$16-$B$10+$M$94+IF($C$77="x",2)-IF($C$78="x",4)-IF($I$78="x",1)-IF($C$79="x",4)+IF($C$80="x",1)-IF($I$77="x",2)-IF($I$90="x",2)+IF($I$83="x",2)-IF($C$83="x",4)-$C$112+IF(H305="x",1)+I305+$M$77+IF(H307="x",1)+IF(J307="x",1)+IF($M$76="x",2)+J305+IF($M$85="x",1)+IF($M$113="x",1)+IF($M$120="x",2)+IF($M$119="x",2)+IF($M$105="x",1)+IF($M$110="x",1)+IF($M$111="x",2)+IF($M$112="x",4)+IF($M$108="x",1)-IF($M$109="x",1)+IF($M$99="x",20)-IF($M$99="x",1)+IF($M$90="x",1)
&amp;"/"&amp;SUM($C$3,$I$2)-$C$120+IF($C$75="x",2)+$I$16-$B$10+$M$94+IF($C$77="x",2)-IF($C$78="x",4)-IF($I$78="x",1)-IF($C$79="x",4)+IF($C$80="x",1)-IF($I$77="x",2)-IF($I$90="x",2)+IF($I$83="x",2)-IF($C$83="x",4)-$C$112-5+IF(H651="x",1)+IF(H305="x",1)+I305+$M$77+IF(H307="x",1)+IF(J307="x",1)+IF($M$76="x",2)+J305+IF($M$85="x",1)+IF($M$113="x",1)+IF($M$120="x",2)+IF($M$119="x",2)+IF($M$105="x",1)+IF($M$110="x",1)+IF($M$111="x",2)+IF($M$112="x",4)+IF($M$108="x",1)-IF($M$109="x",1)-IF($M$99="x",1)+IF($M$90="x",1)
&amp;"/"&amp;SUM($C$3,$I$2)-$C$120+IF($C$75="x",2)+$I$16-$B$10+$M$94+IF($C$77="x",2)-IF($C$78="x",4)-IF($I$78="x",1)-IF($C$79="x",4)+IF($C$80="x",1)-IF($I$77="x",2)-IF($I$90="x",2)+IF($I$83="x",2)-IF($C$83="x",4)-$C$112-10+IF(H651="x",1)+IF(H305="x",1)+I305+$M$77+IF(H307="x",1)+IF(J307="x",1)+IF($M$76="x",2)+J305+IF($M$85="x",1)+IF($M$113="x",1)+IF($M$120="x",2)+IF($M$119="x",2)+IF($M$105="x",1)+IF($M$110="x",1)+IF($M$111="x",2)+IF($M$112="x",4)+IF($M$108="x",1)-IF($M$109="x",1)-IF($M$99="x",1)+IF($M$90="x",1),
IF(AND($C$3&gt;15),SUM($C$3,$I$2)-$C$120+IF($C$75="x",2)+$I$16-$B$10+$M$94+IF($C$77="x",2)-IF($C$78="x",4)-IF($I$78="x",1)-IF($C$79="x",4)+IF($C$80="x",1)-IF($I$77="x",2)-IF($I$90="x",2)+IF($I$83="x",2)-IF($C$83="x",4)-$C$112+IF(H305="x",1)+I305+$M$77+IF(H307="x",1)+IF(J307="x",1)+IF($M$76="x",2)+J305+IF($M$85="x",1)+IF($M$113="x",1)+IF($M$120="x",2)+IF($M$119="x",2)+IF($M$105="x",1)+IF($M$110="x",1)+IF($M$111="x",2)+IF($M$112="x",4)+IF($M$108="x",1)-IF($M$109="x",1)-IF($M$99="x",1)+IF($M$90="x",1)
&amp;"/"&amp;SUM($C$3,$I$2)-$C$120+IF($C$75="x",2)+$I$16-$B$10+$M$94+IF($C$77="x",2)-IF($C$78="x",4)-IF($I$78="x",1)-IF($C$79="x",4)+IF($C$80="x",1)-IF($I$77="x",2)-IF($I$90="x",2)+IF($I$83="x",2)-IF($C$83="x",4)-$C$112-5+IF(H651="x",1)+IF(H305="x",1)+I305+$M$77+IF(H307="x",1)+IF(J307="x",1)+IF($M$76="x",2)+J305+IF($M$85="x",1)+IF($M$113="x",1)+IF($M$120="x",2)+IF($M$119="x",2)+IF($M$105="x",1)+IF($M$110="x",1)+IF($M$111="x",2)+IF($M$112="x",4)+IF($M$108="x",1)-IF($M$109="x",1)-IF($M$99="x",1)+IF($M$90="x",1)
&amp;"/"&amp;SUM($C$3,$I$2)-$C$120+IF($C$75="x",2)+$I$16-$B$10+$M$94+IF($C$77="x",2)-IF($C$78="x",4)-IF($I$78="x",1)-IF($C$79="x",4)+IF($C$80="x",1)-IF($I$77="x",2)-IF($I$90="x",2)+IF($I$83="x",2)-IF($C$83="x",4)-$C$112-10+IF(H651="x",1)+IF(H305="x",1)+I305+$M$77+IF(H307="x",1)+IF(J307="x",1)+IF($M$76="x",2)+J305+IF($M$85="x",1)+IF($M$113="x",1)+IF($M$120="x",2)+IF($M$119="x",2)+IF($M$105="x",1)+IF($M$110="x",1)+IF($M$111="x",2)+IF($M$112="x",4)+IF($M$108="x",1)-IF($M$109="x",1)-IF($M$99="x",1)+IF($M$90="x",1)
&amp;"/"&amp;SUM($C$3,$I$2)-$C$120+IF($C$75="x",2)+$I$16-$B$10+$M$94+IF($C$77="x",2)-IF($C$78="x",4)-IF($I$78="x",1)-IF($C$79="x",4)+IF($C$80="x",1)-IF($I$77="x",2)-IF($I$90="x",2)+IF($I$83="x",2)-IF($C$83="x",4)-$C$112-15+IF(H651="x",1)+IF(H305="x",1)+I305+$M$77+IF(H307="x",1)+IF(J307="x",1)+IF($M$76="x",2)+J305+IF($M$85="x",1)+IF($M$113="x",1)+IF($M$120="x",2)+IF($M$119="x",2)+IF($M$105="x",1)+IF($M$110="x",1)+IF($M$111="x",2)+IF($M$112="x",4)+IF($M$108="x",1)-IF($M$109="x",1)-IF($M$99="x",1)+IF($M$90="x",1))))))</f>
        <v>0</v>
      </c>
      <c r="C305" s="12" t="str">
        <f>_xlfn.IFS($C$7="Minimaalinen","1n2",$C$7="Taskukokoinen","1n3",$C$7="Hyvin pieni","1n4",$C$7="Pieni","1n6",$C$7="Keskikokoinen","1n8",$C$7="Iso","2n6",$C$7="Valtava","3n6",$C$7="Suunnaton","4n6",$C$7="Giganttinen","7n6")</f>
        <v>1n8</v>
      </c>
      <c r="D305" s="132">
        <f>SUM($I$2+$C$120)+I305+$M$77+IF(I307="x",2)+IF(K307="x",2)+IF($M$119="x",2)+IF($M$108="x",1)+$M$94-IF($M$109="x",1)+K305</f>
        <v>0</v>
      </c>
      <c r="E305" s="49" t="str">
        <f>_xlfn.IFS($C$7="Minimaalinen","2n2",$C$7="Taskukokoinen","2n3",$C$7="Hyvin pieni","2n4",$C$7="Pieni","2n6",$C$7="Keskikokoinen","2n8",$C$7="Iso","4n6",$C$7="Valtava","6n6",$C$7="Suunnaton","8n6",$C$7="Giganttinen","12n6")</f>
        <v>2n8</v>
      </c>
      <c r="F305" s="12">
        <f>SUM(D305*2)</f>
        <v>0</v>
      </c>
      <c r="G305" s="12" t="str">
        <f>(IF($I$89="x","50 %","")&amp;(IF($C$81="x","20 %",""))&amp;(IF($C$82="x","50 %","")))</f>
        <v/>
      </c>
      <c r="H305" s="28"/>
      <c r="I305" s="17">
        <v>0</v>
      </c>
      <c r="J305" s="17">
        <v>0</v>
      </c>
      <c r="K305" s="17">
        <v>0</v>
      </c>
    </row>
    <row r="306" spans="1:38" x14ac:dyDescent="0.2">
      <c r="A306" s="58" t="s">
        <v>8</v>
      </c>
      <c r="B306" s="119">
        <f>IF($I$85="x","PAINISSA",IF($C$3&lt;=5,SUM($C$3,$I$2)-$C$120+IF($C$75="x",2)+$I$16-$B$10+$M$94+IF($C$77="x",2)-IF($C$78="x",4)-IF($I$78="x",1)-IF($C$79="x",4)+IF($C$80="x",1)-IF($I$77="x",2)-IF($I$90="x",2)+IF($I$83="x",2)-IF($C$75="x",4)-$C$112+IF(H305="x",1)+I305+$M$77+IF(H307="x",1)+IF(J307="x",1)+IF($M$76="x",2)+J305+IF($M$85="x",1)+IF($M$113="x",1)+IF($M$120="x",2)+IF($M$119="x",2)+IF($M$105="x",1)+IF($M$110="x",1)+IF($M$111="x",2)+IF($M$112="x",4)+IF($M$108="x",1)-IF($M$109="x",1)-IF($M$99="x",1)+IF($M$90="x",1),
IF(AND($C$3&gt;5,$C$3&lt;11),SUM($C$3,$I$2)-$C$120+IF($C$75="x",2)+$I$16-$B$10+$M$94+IF($C$77="x",2)-IF($C$78="x",4)-IF($I$78="x",1)-IF($C$79="x",4)+IF($C$80="x",1)-IF($I$77="x",2)-IF($I$90="x",2)+IF($I$83="x",2)-IF($C$83="x",4)-$C$112+IF(H305="x",1)+I305+$M$77+IF(H307="x",1)+IF(J307="x",1)+IF($M$76="x",2)+J305+IF($M$85="x",1)+IF($M$113="x",1)+IF($M$120="x",2)+IF($M$119="x",2)+IF($M$105="x",1)+IF($M$110="x",1)+IF($M$111="x",2)+IF($M$112="x",4)+IF($M$108="x",1)-IF($M$109="x",1)-IF($M$99="x",1)+IF($M$90="x",1)
&amp;"/"&amp;SUM($C$3,$I$2)-$C$120+IF($C$75="x",2)+$I$16-$B$10+$M$94+IF($C$77="x",2)-IF($C$78="x",4)-IF($I$78="x",1)-IF($C$79="x",4)+IF($C$80="x",1)-IF($I$77="x",2)-IF($I$90="x",2)+IF($I$83="x",2)-IF($C$83="x",4)-$C$112-5+IF(H305="x",1)+I305+$M$77+IF(H307="x",1)+IF(J307="x",1)+IF($M$76="x",2)+J305+IF($M$85="x",1)+IF($M$113="x",1)+IF($M$120="x",2)+IF($M$119="x",2)+IF($M$105="x",1)+IF($M$110="x",1)+IF($M$111="x",2)+IF($M$112="x",4)+IF($M$108="x",1)-IF($M$109="x",1)-IF($M$99="x",1)+IF($M$90="x",1),
IF(AND($C$3&gt;10,$C$3&lt;16),SUM($C$3,$I$2)-$C$120+IF($C$75="x",2)+$I$16-$B$10+$M$94+IF($C$77="x",2)-IF($C$78="x",4)-IF($I$78="x",1)-IF($C$79="x",4)+IF($C$80="x",1)-IF($I$77="x",2)-IF($I$90="x",2)+IF($I$83="x",2)-IF($C$83="x",4)-$C$112+IF(H305="x",1)+I305+$M$77+IF(H307="x",1)+IF(J307="x",1)+IF($M$76="x",2)+J305+IF($M$85="x",1)+IF($M$113="x",1)+IF($M$120="x",2)+IF($M$119="x",2)+IF($M$105="x",1)+IF($M$110="x",1)+IF($M$111="x",2)+IF($M$112="x",4)+IF($M$108="x",1)-IF($M$109="x",1)+IF($M$99="x",20)-IF($M$99="x",1)+IF($M$90="x",1)
&amp;"/"&amp;SUM($C$3,$I$2)-$C$120+IF($C$75="x",2)+$I$16-$B$10+$M$94+IF($C$77="x",2)-IF($C$78="x",4)-IF($I$78="x",1)-IF($C$79="x",4)+IF($C$80="x",1)-IF($I$77="x",2)-IF($I$90="x",2)+IF($I$83="x",2)-IF($C$83="x",4)-$C$112-5+IF(H651="x",1)+IF(H305="x",1)+I305+$M$77+IF(H307="x",1)+IF(J307="x",1)+IF($M$76="x",2)+J305+IF($M$85="x",1)+IF($M$113="x",1)+IF($M$120="x",2)+IF($M$119="x",2)+IF($M$105="x",1)+IF($M$110="x",1)+IF($M$111="x",2)+IF($M$112="x",4)+IF($M$108="x",1)-IF($M$109="x",1)-IF($M$99="x",1)+IF($M$90="x",1)
&amp;"/"&amp;SUM($C$3,$I$2)-$C$120+IF($C$75="x",2)+$I$16-$B$10+$M$94+IF($C$77="x",2)-IF($C$78="x",4)-IF($I$78="x",1)-IF($C$79="x",4)+IF($C$80="x",1)-IF($I$77="x",2)-IF($I$90="x",2)+IF($I$83="x",2)-IF($C$83="x",4)-$C$112-10+IF(H651="x",1)+IF(H305="x",1)+I305+$M$77+IF(H307="x",1)+IF(J307="x",1)+IF($M$76="x",2)+J305+IF($M$85="x",1)+IF($M$113="x",1)+IF($M$120="x",2)+IF($M$119="x",2)+IF($M$105="x",1)+IF($M$110="x",1)+IF($M$111="x",2)+IF($M$112="x",4)+IF($M$108="x",1)-IF($M$109="x",1)-IF($M$99="x",1)+IF($M$90="x",1),
IF(AND($C$3&gt;15),SUM($C$3,$I$2)-$C$120+IF($C$75="x",2)+$I$16-$B$10+$M$94+IF($C$77="x",2)-IF($C$78="x",4)-IF($I$78="x",1)-IF($C$79="x",4)+IF($C$80="x",1)-IF($I$77="x",2)-IF($I$90="x",2)+IF($I$83="x",2)-IF($C$83="x",4)-$C$112+IF(H305="x",1)+I305+$M$77+IF(H307="x",1)+IF(J307="x",1)+IF($M$76="x",2)+J305+IF($M$85="x",1)+IF($M$113="x",1)+IF($M$120="x",2)+IF($M$119="x",2)+IF($M$105="x",1)+IF($M$110="x",1)+IF($M$111="x",2)+IF($M$112="x",4)+IF($M$108="x",1)-IF($M$109="x",1)-IF($M$99="x",1)+IF($M$90="x",1)
&amp;"/"&amp;SUM($C$3,$I$2)-$C$120+IF($C$75="x",2)+$I$16-$B$10+$M$94+IF($C$77="x",2)-IF($C$78="x",4)-IF($I$78="x",1)-IF($C$79="x",4)+IF($C$80="x",1)-IF($I$77="x",2)-IF($I$90="x",2)+IF($I$83="x",2)-IF($C$83="x",4)-$C$112-5+IF(H651="x",1)+IF(H305="x",1)+I305+$M$77+IF(H307="x",1)+IF(J307="x",1)+IF($M$76="x",2)+J305+IF($M$85="x",1)+IF($M$113="x",1)+IF($M$120="x",2)+IF($M$119="x",2)+IF($M$105="x",1)+IF($M$110="x",1)+IF($M$111="x",2)+IF($M$112="x",4)+IF($M$108="x",1)-IF($M$109="x",1)-IF($M$99="x",1)+IF($M$90="x",1)
&amp;"/"&amp;SUM($C$3,$I$2)-$C$120+IF($C$75="x",2)+$I$16-$B$10+$M$94+IF($C$77="x",2)-IF($C$78="x",4)-IF($I$78="x",1)-IF($C$79="x",4)+IF($C$80="x",1)-IF($I$77="x",2)-IF($I$90="x",2)+IF($I$83="x",2)-IF($C$83="x",4)-$C$112-10+IF(H651="x",1)+IF(H305="x",1)+I305+$M$77+IF(H307="x",1)+IF(J307="x",1)+IF($M$76="x",2)+J305+IF($M$85="x",1)+IF($M$113="x",1)+IF($M$120="x",2)+IF($M$119="x",2)+IF($M$105="x",1)+IF($M$110="x",1)+IF($M$111="x",2)+IF($M$112="x",4)+IF($M$108="x",1)-IF($M$109="x",1)-IF($M$99="x",1)+IF($M$90="x",1)
&amp;"/"&amp;SUM($C$3,$I$2)-$C$120+IF($C$75="x",2)+$I$16-$B$10+$M$94+IF($C$77="x",2)-IF($C$78="x",4)-IF($I$78="x",1)-IF($C$79="x",4)+IF($C$80="x",1)-IF($I$77="x",2)-IF($I$90="x",2)+IF($I$83="x",2)-IF($C$83="x",4)-$C$112-15+IF(H651="x",1)+IF(H305="x",1)+I305+$M$77+IF(H307="x",1)+IF(J307="x",1)+IF($M$76="x",2)+J305+IF($M$85="x",1)+IF($M$113="x",1)+IF($M$120="x",2)+IF($M$119="x",2)+IF($M$105="x",1)+IF($M$110="x",1)+IF($M$111="x",2)+IF($M$112="x",4)+IF($M$108="x",1)-IF($M$109="x",1)-IF($M$99="x",1)+IF($M$90="x",1))))))</f>
        <v>0</v>
      </c>
      <c r="C306" s="119" t="str">
        <f>_xlfn.IFS($C$7="Minimaalinen","1n2",$C$7="Taskukokoinen","1n3",$C$7="Hyvin pieni","1n4",$C$7="Pieni","1n6",$C$7="Keskikokoinen","1n8",$C$7="Iso","2n6",$C$7="Valtava","3n6",$C$7="Suunnaton","4n6",$C$7="Giganttinen","7n6")</f>
        <v>1n8</v>
      </c>
      <c r="D306" s="119">
        <f>IF($I$2&lt;0,$I$2,INT($I$2*1.5))+($C$120*2)+I305+$M$77+IF(I307="x",2)+IF(K307="x",2)+IF($M$119="x",2)+IF($M$108="x",1)+$M$94-IF($M$109="x",1)+K305</f>
        <v>0</v>
      </c>
      <c r="E306" s="114" t="str">
        <f>_xlfn.IFS($C$7="Minimaalinen","2n2",$C$7="Taskukokoinen","2n3",$C$7="Hyvin pieni","2n4",$C$7="Pieni","2n6",$C$7="Keskikokoinen","2n8",$C$7="Iso","4n6",$C$7="Valtava","6n6",$C$7="Suunnaton","8n6",$C$7="Giganttinen","12n6")</f>
        <v>2n8</v>
      </c>
      <c r="F306" s="120">
        <f>SUM(D306*2)</f>
        <v>0</v>
      </c>
      <c r="G306" s="120" t="str">
        <f>(IF($I$89="x","50 %","")&amp;(IF($C$81="x","20 %",""))&amp;(IF($C$82="x","50 %","")))</f>
        <v/>
      </c>
      <c r="H306" s="14" t="s">
        <v>220</v>
      </c>
      <c r="I306" s="14" t="s">
        <v>221</v>
      </c>
      <c r="J306" s="14" t="s">
        <v>222</v>
      </c>
      <c r="K306" s="14" t="s">
        <v>223</v>
      </c>
      <c r="AB306" s="46"/>
      <c r="AC306" s="48"/>
      <c r="AD306" s="48"/>
      <c r="AE306" s="48"/>
      <c r="AF306" s="48"/>
      <c r="AG306" s="48"/>
      <c r="AH306" s="48"/>
      <c r="AI306" s="48"/>
      <c r="AJ306" s="48"/>
      <c r="AK306" s="48"/>
      <c r="AL306" s="48"/>
    </row>
    <row r="307" spans="1:38" x14ac:dyDescent="0.2">
      <c r="A307" s="133" t="s">
        <v>438</v>
      </c>
      <c r="B307" s="121">
        <f>IF($I$85="x","PAINISSA",IF($C$3&lt;=5,SUM($C$3,$I$2)-$C$120+IF($C$75="x",2)+$I$16-$B$10+$M$94+IF($C$77="x",2)-IF($C$78="x",4)-IF($I$78="x",1)-IF($C$79="x",4)+IF($C$80="x",1)-IF($I$77="x",2)-IF($I$90="x",2)+IF($I$83="x",2)-IF($C$75="x",4)-$C$112+IF(H305="x",1)+I305+$M$77+IF(H307="x",1)+IF(J307="x",1)+IF($M$76="x",2)+J305+IF($M$85="x",1)+IF($M$113="x",1)+IF($M$120="x",2)+IF($M$119="x",2)+IF($M$105="x",1)+IF($M$110="x",1)+IF($M$111="x",2)+IF($M$112="x",4)+IF($M$108="x",1)-IF($M$109="x",1)-IF($M$99="x",1)+IF($M$90="x",1)-IF($C$97="x",2,4),
IF(AND($C$3&gt;5,$C$3&lt;11),SUM($C$3,$I$2)-$C$120+IF($C$75="x",2)+$I$16-$B$10+$M$94+IF($C$77="x",2)-IF($C$78="x",4)-IF($I$78="x",1)-IF($C$79="x",4)+IF($C$80="x",1)-IF($I$77="x",2)-IF($I$90="x",2)+IF($I$83="x",2)-IF($C$83="x",4)-$C$112+IF(H305="x",1)+I305+$M$77+IF(H307="x",1)+IF(J307="x",1)+IF($M$76="x",2)+J305+IF($M$85="x",1)+IF($M$113="x",1)+IF($M$120="x",2)+IF($M$119="x",2)+IF($M$105="x",1)+IF($M$110="x",1)+IF($M$111="x",2)+IF($M$112="x",4)+IF($M$108="x",1)-IF($M$109="x",1)-IF($M$99="x",1)+IF($M$90="x",1)-IF($C$97="x",2,4)
&amp;"/"&amp;SUM($C$3,$I$2)-$C$120+IF($C$75="x",2)+$I$16-$B$10+$M$94+IF($C$77="x",2)-IF($C$78="x",4)-IF($I$78="x",1)-IF($C$79="x",4)+IF($C$80="x",1)-IF($I$77="x",2)-IF($I$90="x",2)+IF($I$83="x",2)-IF($C$83="x",4)-$C$112-5+IF(H305="x",1)+I305+$M$77+IF(H307="x",1)+IF(J307="x",1)+IF($M$76="x",2)+J305+IF($M$85="x",1)+IF($M$113="x",1)+IF($M$120="x",2)+IF($M$119="x",2)+IF($M$105="x",1)+IF($M$110="x",1)+IF($M$111="x",2)+IF($M$112="x",4)+IF($M$108="x",1)-IF($M$109="x",1)-IF($M$99="x",1)+IF($M$90="x",1)-IF($C$97="x",2,4),
IF(AND($C$3&gt;10,$C$3&lt;16),SUM($C$3,$I$2)-$C$120+IF($C$75="x",2)+$I$16-$B$10+$M$94+IF($C$77="x",2)-IF($C$78="x",4)-IF($I$78="x",1)-IF($C$79="x",4)+IF($C$80="x",1)-IF($I$77="x",2)-IF($I$90="x",2)+IF($I$83="x",2)-IF($C$83="x",4)-$C$112+IF(H305="x",1)+I305+$M$77+IF(H307="x",1)+IF(J307="x",1)+IF($M$76="x",2)+J305+IF($M$85="x",1)+IF($M$113="x",1)+IF($M$120="x",2)+IF($M$119="x",2)+IF($M$105="x",1)+IF($M$110="x",1)+IF($M$111="x",2)+IF($M$112="x",4)+IF($M$108="x",1)-IF($M$109="x",1)+IF($M$99="x",20)-IF($M$99="x",1)+IF($M$90="x",1)-IF($C$97="x",2,4)
&amp;"/"&amp;SUM($C$3,$I$2)-$C$120+IF($C$75="x",2)+$I$16-$B$10+$M$94+IF($C$77="x",2)-IF($C$78="x",4)-IF($I$78="x",1)-IF($C$79="x",4)+IF($C$80="x",1)-IF($I$77="x",2)-IF($I$90="x",2)+IF($I$83="x",2)-IF($C$83="x",4)-$C$112-5+IF(H651="x",1)+IF(H305="x",1)+I305+$M$77+IF(H307="x",1)+IF(J307="x",1)+IF($M$76="x",2)+J305+IF($M$85="x",1)+IF($M$113="x",1)+IF($M$120="x",2)+IF($M$119="x",2)+IF($M$105="x",1)+IF($M$110="x",1)+IF($M$111="x",2)+IF($M$112="x",4)+IF($M$108="x",1)-IF($M$109="x",1)-IF($M$99="x",1)+IF($M$90="x",1)-IF($C$97="x",2,4)
&amp;"/"&amp;SUM($C$3,$I$2)-$C$120+IF($C$75="x",2)+$I$16-$B$10+$M$94+IF($C$77="x",2)-IF($C$78="x",4)-IF($I$78="x",1)-IF($C$79="x",4)+IF($C$80="x",1)-IF($I$77="x",2)-IF($I$90="x",2)+IF($I$83="x",2)-IF($C$83="x",4)-$C$112-10+IF(H651="x",1)+IF(H305="x",1)+I305+$M$77+IF(H307="x",1)+IF(J307="x",1)+IF($M$76="x",2)+J305+IF($M$85="x",1)+IF($M$113="x",1)+IF($M$120="x",2)+IF($M$119="x",2)+IF($M$105="x",1)+IF($M$110="x",1)+IF($M$111="x",2)+IF($M$112="x",4)+IF($M$108="x",1)-IF($M$109="x",1)-IF($M$99="x",1)+IF($M$90="x",1)-IF($C$97="x",2,4),
IF(AND($C$3&gt;15),SUM($C$3,$I$2)-$C$120+IF($C$75="x",2)+$I$16-$B$10+$M$94+IF($C$77="x",2)-IF($C$78="x",4)-IF($I$78="x",1)-IF($C$79="x",4)+IF($C$80="x",1)-IF($I$77="x",2)-IF($I$90="x",2)+IF($I$83="x",2)-IF($C$83="x",4)-$C$112+IF(H305="x",1)+I305+$M$77+IF(H307="x",1)+IF(J307="x",1)+IF($M$76="x",2)+J305+IF($M$85="x",1)+IF($M$113="x",1)+IF($M$120="x",2)+IF($M$119="x",2)+IF($M$105="x",1)+IF($M$110="x",1)+IF($M$111="x",2)+IF($M$112="x",4)+IF($M$108="x",1)-IF($M$109="x",1)-IF($M$99="x",1)+IF($M$90="x",1)-IF($C$97="x",2,4)
&amp;"/"&amp;SUM($C$3,$I$2)-$C$120+IF($C$75="x",2)+$I$16-$B$10+$M$94+IF($C$77="x",2)-IF($C$78="x",4)-IF($I$78="x",1)-IF($C$79="x",4)+IF($C$80="x",1)-IF($I$77="x",2)-IF($I$90="x",2)+IF($I$83="x",2)-IF($C$83="x",4)-$C$112-5+IF(H651="x",1)+IF(H305="x",1)+I305+$M$77+IF(H307="x",1)+IF(J307="x",1)+IF($M$76="x",2)+J305+IF($M$85="x",1)+IF($M$113="x",1)+IF($M$120="x",2)+IF($M$119="x",2)+IF($M$105="x",1)+IF($M$110="x",1)+IF($M$111="x",2)+IF($M$112="x",4)+IF($M$108="x",1)-IF($M$109="x",1)-IF($M$99="x",1)+IF($M$90="x",1)-IF($C$97="x",2,4)
&amp;"/"&amp;SUM($C$3,$I$2)-$C$120+IF($C$75="x",2)+$I$16-$B$10+$M$94+IF($C$77="x",2)-IF($C$78="x",4)-IF($I$78="x",1)-IF($C$79="x",4)+IF($C$80="x",1)-IF($I$77="x",2)-IF($I$90="x",2)+IF($I$83="x",2)-IF($C$83="x",4)-$C$112-10+IF(H651="x",1)+IF(H305="x",1)+I305+$M$77+IF(H307="x",1)+IF(J307="x",1)+IF($M$76="x",2)+J305+IF($M$85="x",1)+IF($M$113="x",1)+IF($M$120="x",2)+IF($M$119="x",2)+IF($M$105="x",1)+IF($M$110="x",1)+IF($M$111="x",2)+IF($M$112="x",4)+IF($M$108="x",1)-IF($M$109="x",1)-IF($M$99="x",1)+IF($M$90="x",1)-IF($C$97="x",2,4)
&amp;"/"&amp;SUM($C$3,$I$2)-$C$120+IF($C$75="x",2)+$I$16-$B$10+$M$94+IF($C$77="x",2)-IF($C$78="x",4)-IF($I$78="x",1)-IF($C$79="x",4)+IF($C$80="x",1)-IF($I$77="x",2)-IF($I$90="x",2)+IF($I$83="x",2)-IF($C$83="x",4)-$C$112-15+IF(H651="x",1)+IF(H305="x",1)+I305+$M$77+IF(H307="x",1)+IF(J307="x",1)+IF($M$76="x",2)+J305+IF($M$85="x",1)+IF($M$113="x",1)+IF($M$120="x",2)+IF($M$119="x",2)+IF($M$105="x",1)+IF($M$110="x",1)+IF($M$111="x",2)+IF($M$112="x",4)+IF($M$108="x",1)-IF($M$109="x",1)-IF($M$99="x",1)+IF($M$90="x",1)-IF($C$97="x",2,4))))))</f>
        <v>-4</v>
      </c>
      <c r="C307" s="49" t="str">
        <f>_xlfn.IFS($C$7="Minimaalinen","1n2",$C$7="Taskukokoinen","1n3",$C$7="Hyvin pieni","1n4",$C$7="Pieni","1n6",$C$7="Keskikokoinen","1n8",$C$7="Iso","2n6",$C$7="Valtava","3n6",$C$7="Suunnaton","4n6",$C$7="Giganttinen","7n6")</f>
        <v>1n8</v>
      </c>
      <c r="D307" s="121">
        <f>SUM($I$2+$C$120)+I305+$M$77+IF(I307="x",2)+IF(K307="x",2)+IF($M$119="x",2)+IF($M$108="x",1)+$M$94-IF($M$109="x",1)+K305</f>
        <v>0</v>
      </c>
      <c r="E307" s="49" t="str">
        <f>_xlfn.IFS($C$7="Minimaalinen","2n2",$C$7="Taskukokoinen","2n3",$C$7="Hyvin pieni","2n4",$C$7="Pieni","2n6",$C$7="Keskikokoinen","2n8",$C$7="Iso","4n6",$C$7="Valtava","6n6",$C$7="Suunnaton","8n6",$C$7="Giganttinen","12n6")</f>
        <v>2n8</v>
      </c>
      <c r="F307" s="12">
        <f>SUM(D307*2)</f>
        <v>0</v>
      </c>
      <c r="G307" s="82" t="str">
        <f>(IF($I$89="x","50 %","")&amp;(IF($C$81="x","20 %",""))&amp;(IF($C$82="x","50 %","")))</f>
        <v/>
      </c>
      <c r="H307" s="28"/>
      <c r="I307" s="28"/>
      <c r="J307" s="28"/>
      <c r="K307" s="28"/>
      <c r="AB307" s="128"/>
      <c r="AC307" s="66"/>
      <c r="AD307" s="66"/>
      <c r="AE307" s="129"/>
      <c r="AF307" s="66"/>
      <c r="AG307" s="66"/>
      <c r="AH307" s="66"/>
      <c r="AI307" s="40"/>
      <c r="AJ307" s="40"/>
      <c r="AK307" s="40"/>
      <c r="AL307" s="40"/>
    </row>
    <row r="308" spans="1:38" x14ac:dyDescent="0.2">
      <c r="A308" s="133" t="s">
        <v>437</v>
      </c>
      <c r="B308" s="82">
        <f>IF($I$85="x","PAINISSA",IF($C$3&lt;=5,SUM($C$3,$I$2)-$C$120+IF($C$75="x",2)+$I$16-$B$10+$M$94+IF($C$77="x",2)-IF($C$78="x",4)-IF($I$78="x",1)-IF($C$79="x",4)+IF($C$80="x",1)-IF($I$77="x",2)-IF($I$90="x",2)+IF($I$83="x",2)-IF($C$75="x",4)-$C$112+IF(H305="x",1)+I305+$M$77+IF(H307="x",1)+IF(J307="x",1)+IF($M$76="x",2)+J305+IF($M$85="x",1)+IF($M$113="x",1)+IF($M$120="x",2)+IF($M$119="x",2)+IF($M$105="x",1)+IF($M$110="x",1)+IF($M$111="x",2)+IF($M$112="x",4)+IF($M$108="x",1)-IF($M$109="x",1)-IF($M$99="x",1)+IF($M$90="x",1)-IF($C$97="x",4,6),
IF(AND($C$3&gt;5,$C$3&lt;11),SUM($C$3,$I$2)-$C$120+IF($C$75="x",2)+$I$16-$B$10+$M$94+IF($C$77="x",2)-IF($C$78="x",4)-IF($I$78="x",1)-IF($C$79="x",4)+IF($C$80="x",1)-IF($I$77="x",2)-IF($I$90="x",2)+IF($I$83="x",2)-IF($C$83="x",4)-$C$112+IF(H305="x",1)+I305+$M$77+IF(H307="x",1)+IF(J307="x",1)+IF($M$76="x",2)+J305+IF($M$85="x",1)+IF($M$113="x",1)+IF($M$120="x",2)+IF($M$119="x",2)+IF($M$105="x",1)+IF($M$110="x",1)+IF($M$111="x",2)+IF($M$112="x",4)+IF($M$108="x",1)-IF($M$109="x",1)-IF($M$99="x",1)+IF($M$90="x",1)-IF($C$97="x",4,6)
&amp;"/"&amp;SUM($C$3,$I$2)-$C$120+IF($C$75="x",2)+$I$16-$B$10+$M$94+IF($C$77="x",2)-IF($C$78="x",4)-IF($I$78="x",1)-IF($C$79="x",4)+IF($C$80="x",1)-IF($I$77="x",2)-IF($I$90="x",2)+IF($I$83="x",2)-IF($C$83="x",4)-$C$112-5+IF(H305="x",1)+I305+$M$77+IF(H307="x",1)+IF(J307="x",1)+IF($M$76="x",2)+J305+IF($M$85="x",1)+IF($M$113="x",1)+IF($M$120="x",2)+IF($M$119="x",2)+IF($M$105="x",1)+IF($M$110="x",1)+IF($M$111="x",2)+IF($M$112="x",4)+IF($M$108="x",1)-IF($M$109="x",1)-IF($M$99="x",1)+IF($M$90="x",1)-IF($C$97="x",4,6),
IF(AND($C$3&gt;10,$C$3&lt;16),SUM($C$3,$I$2)-$C$120+IF($C$75="x",2)+$I$16-$B$10+$M$94+IF($C$77="x",2)-IF($C$78="x",4)-IF($I$78="x",1)-IF($C$79="x",4)+IF($C$80="x",1)-IF($I$77="x",2)-IF($I$90="x",2)+IF($I$83="x",2)-IF($C$83="x",4)-$C$112+IF(H305="x",1)+I305+$M$77+IF(H307="x",1)+IF(J307="x",1)+IF($M$76="x",2)+J305+IF($M$85="x",1)+IF($M$113="x",1)+IF($M$120="x",2)+IF($M$119="x",2)+IF($M$105="x",1)+IF($M$110="x",1)+IF($M$111="x",2)+IF($M$112="x",4)+IF($M$108="x",1)-IF($M$109="x",1)+IF($M$99="x",20)-IF($M$99="x",1)+IF($M$90="x",1)-IF($C$97="x",4,6)
&amp;"/"&amp;SUM($C$3,$I$2)-$C$120+IF($C$75="x",2)+$I$16-$B$10+$M$94+IF($C$77="x",2)-IF($C$78="x",4)-IF($I$78="x",1)-IF($C$79="x",4)+IF($C$80="x",1)-IF($I$77="x",2)-IF($I$90="x",2)+IF($I$83="x",2)-IF($C$83="x",4)-$C$112-5+IF(H651="x",1)+IF(H305="x",1)+I305+$M$77+IF(H307="x",1)+IF(J307="x",1)+IF($M$76="x",2)+J305+IF($M$85="x",1)+IF($M$113="x",1)+IF($M$120="x",2)+IF($M$119="x",2)+IF($M$105="x",1)+IF($M$110="x",1)+IF($M$111="x",2)+IF($M$112="x",4)+IF($M$108="x",1)-IF($M$109="x",1)-IF($M$99="x",1)+IF($M$90="x",1)-IF($C$97="x",4,6)
&amp;"/"&amp;SUM($C$3,$I$2)-$C$120+IF($C$75="x",2)+$I$16-$B$10+$M$94+IF($C$77="x",2)-IF($C$78="x",4)-IF($I$78="x",1)-IF($C$79="x",4)+IF($C$80="x",1)-IF($I$77="x",2)-IF($I$90="x",2)+IF($I$83="x",2)-IF($C$83="x",4)-$C$112-10+IF(H651="x",1)+IF(H305="x",1)+I305+$M$77+IF(H307="x",1)+IF(J307="x",1)+IF($M$76="x",2)+J305+IF($M$85="x",1)+IF($M$113="x",1)+IF($M$120="x",2)+IF($M$119="x",2)+IF($M$105="x",1)+IF($M$110="x",1)+IF($M$111="x",2)+IF($M$112="x",4)+IF($M$108="x",1)-IF($M$109="x",1)-IF($M$99="x",1)+IF($M$90="x",1)-IF($C$97="x",4,6),
IF(AND($C$3&gt;15),SUM($C$3,$I$2)-$C$120+IF($C$75="x",2)+$I$16-$B$10+$M$94+IF($C$77="x",2)-IF($C$78="x",4)-IF($I$78="x",1)-IF($C$79="x",4)+IF($C$80="x",1)-IF($I$77="x",2)-IF($I$90="x",2)+IF($I$83="x",2)-IF($C$83="x",4)-$C$112+IF(H305="x",1)+I305+$M$77+IF(H307="x",1)+IF(J307="x",1)+IF($M$76="x",2)+J305+IF($M$85="x",1)+IF($M$113="x",1)+IF($M$120="x",2)+IF($M$119="x",2)+IF($M$105="x",1)+IF($M$110="x",1)+IF($M$111="x",2)+IF($M$112="x",4)+IF($M$108="x",1)-IF($M$109="x",1)-IF($M$99="x",1)+IF($M$90="x",1)-IF($C$97="x",4,6)
&amp;"/"&amp;SUM($C$3,$I$2)-$C$120+IF($C$75="x",2)+$I$16-$B$10+$M$94+IF($C$77="x",2)-IF($C$78="x",4)-IF($I$78="x",1)-IF($C$79="x",4)+IF($C$80="x",1)-IF($I$77="x",2)-IF($I$90="x",2)+IF($I$83="x",2)-IF($C$83="x",4)-$C$112-5+IF(H651="x",1)+IF(H305="x",1)+I305+$M$77+IF(H307="x",1)+IF(J307="x",1)+IF($M$76="x",2)+J305+IF($M$85="x",1)+IF($M$113="x",1)+IF($M$120="x",2)+IF($M$119="x",2)+IF($M$105="x",1)+IF($M$110="x",1)+IF($M$111="x",2)+IF($M$112="x",4)+IF($M$108="x",1)-IF($M$109="x",1)-IF($M$99="x",1)+IF($M$90="x",1)-IF($C$97="x",4,6)
&amp;"/"&amp;SUM($C$3,$I$2)-$C$120+IF($C$75="x",2)+$I$16-$B$10+$M$94+IF($C$77="x",2)-IF($C$78="x",4)-IF($I$78="x",1)-IF($C$79="x",4)+IF($C$80="x",1)-IF($I$77="x",2)-IF($I$90="x",2)+IF($I$83="x",2)-IF($C$83="x",4)-$C$112-10+IF(H651="x",1)+IF(H305="x",1)+I305+$M$77+IF(H307="x",1)+IF(J307="x",1)+IF($M$76="x",2)+J305+IF($M$85="x",1)+IF($M$113="x",1)+IF($M$120="x",2)+IF($M$119="x",2)+IF($M$105="x",1)+IF($M$110="x",1)+IF($M$111="x",2)+IF($M$112="x",4)+IF($M$108="x",1)-IF($M$109="x",1)-IF($M$99="x",1)+IF($M$90="x",1)-IF($C$97="x",4,6)
&amp;"/"&amp;SUM($C$3,$I$2)-$C$120+IF($C$75="x",2)+$I$16-$B$10+$M$94+IF($C$77="x",2)-IF($C$78="x",4)-IF($I$78="x",1)-IF($C$79="x",4)+IF($C$80="x",1)-IF($I$77="x",2)-IF($I$90="x",2)+IF($I$83="x",2)-IF($C$83="x",4)-$C$112-15+IF(H651="x",1)+IF(H305="x",1)+I305+$M$77+IF(H307="x",1)+IF(J307="x",1)+IF($M$76="x",2)+J305+IF($M$85="x",1)+IF($M$113="x",1)+IF($M$120="x",2)+IF($M$119="x",2)+IF($M$105="x",1)+IF($M$110="x",1)+IF($M$111="x",2)+IF($M$112="x",4)+IF($M$108="x",1)-IF($M$109="x",1)-IF($M$99="x",1)+IF($M$90="x",1)-IF($C$97="x",4,6))))))</f>
        <v>-6</v>
      </c>
      <c r="C308" s="49" t="str">
        <f>_xlfn.IFS($C$7="Minimaalinen","1n2",$C$7="Taskukokoinen","1n3",$C$7="Hyvin pieni","1n4",$C$7="Pieni","1n6",$C$7="Keskikokoinen","1n8",$C$7="Iso","2n6",$C$7="Valtava","3n6",$C$7="Suunnaton","4n6",$C$7="Giganttinen","7n6")</f>
        <v>1n8</v>
      </c>
      <c r="D308" s="121">
        <f>SUM($I$2+$C$120)+I305+$M$77+IF(I307="x",2)+IF(K307="x",2)+IF($M$119="x",2)+IF($M$108="x",1)+$M$94-IF($M$109="x",1)+K305</f>
        <v>0</v>
      </c>
      <c r="E308" s="49" t="str">
        <f>_xlfn.IFS($C$7="Minimaalinen","2n2",$C$7="Taskukokoinen","2n3",$C$7="Hyvin pieni","2n4",$C$7="Pieni","2n6",$C$7="Keskikokoinen","2n8",$C$7="Iso","4n6",$C$7="Valtava","6n6",$C$7="Suunnaton","8n6",$C$7="Giganttinen","12n6")</f>
        <v>2n8</v>
      </c>
      <c r="F308" s="12">
        <f>SUM(D308*2)</f>
        <v>0</v>
      </c>
      <c r="G308" s="82" t="str">
        <f>(IF($I$89="x","50 %","")&amp;(IF($C$81="x","20 %",""))&amp;(IF($C$82="x","50 %","")))</f>
        <v/>
      </c>
      <c r="H308" s="11"/>
      <c r="I308" s="131"/>
      <c r="J308" s="131"/>
      <c r="K308" s="131"/>
      <c r="AB308" s="47"/>
      <c r="AC308" s="113"/>
      <c r="AD308" s="114"/>
      <c r="AE308" s="113"/>
      <c r="AF308" s="114"/>
      <c r="AG308" s="114"/>
      <c r="AH308" s="114"/>
      <c r="AI308" s="48"/>
      <c r="AJ308" s="48"/>
      <c r="AK308" s="48"/>
      <c r="AL308" s="48"/>
    </row>
    <row r="309" spans="1:38" x14ac:dyDescent="0.2">
      <c r="A309" s="122" t="s">
        <v>436</v>
      </c>
      <c r="B309" s="123">
        <f>IF($I$85="x","PAINISSA",IF(AND($C$90="",$C$118=""),SUM($C$3,$I$2)-$C$120+IF($C$75="x",2)+$I$16-$B$10+$M$94+IF($C$77="x",2)-IF($C$78="x",4)-IF($I$78="x",1)-IF($C$79="x",4)+IF($C$80="x",1)-IF($I$77="x",2)-IF($I$90="x",2)+IF($I$83="x",2)-IF($C$75="x",4)-$C$112+IF(H305="x",1)+I305+$M$77+IF(H307="x",1)+IF(J307="x",1)+IF($M$76="x",2)+J305+IF($M$85="x",1)+IF($M$113="x",1)+IF($M$120="x",2)+IF($M$119="x",2)+IF($M$105="x",1)+IF($M$110="x",1)+IF($M$111="x",2)+IF($M$112="x",4)+IF($M$108="x",1)-IF($M$109="x",1)-IF($M$99="x",1)+IF($M$90="x",1)-IF($C$97="x",4,10),
IF(AND($C$90="x",$C$118=""),SUM($C$3,$I$2)-$C$120+IF($C$75="x",2)+$I$16-$B$10+$M$94+IF($C$77="x",2)-IF($C$78="x",4)-IF($I$78="x",1)-IF($C$79="x",4)+IF($C$80="x",1)-IF($I$77="x",2)-IF($I$90="x",2)+IF($I$83="x",2)-IF($C$83="x",4)-$C$112+IF(H305="x",1)+I305+$M$77+IF(H307="x",1)+IF(J307="x",1)+IF($M$76="x",2)+J305+IF($M$85="x",1)+IF($M$113="x",1)+IF($M$120="x",2)+IF($M$119="x",2)+IF($M$105="x",1)+IF($M$110="x",1)+IF($M$111="x",2)+IF($M$112="x",4)+IF($M$108="x",1)-IF($M$109="x",1)-IF($M$99="x",1)+IF($M$90="x",1)-IF($C$97="x",4,10)
&amp;"/"&amp;SUM($C$3,$I$2)-$C$120+IF($C$75="x",2)+$I$16-$B$10+$M$94+IF($C$77="x",2)-IF($C$78="x",4)-IF($I$78="x",1)-IF($C$79="x",4)+IF($C$80="x",1)-IF($I$77="x",2)-IF($I$90="x",2)+IF($I$83="x",2)-IF($C$83="x",4)-$C$112+IF(H305="x",1)+I305+$M$77+IF(H307="x",1)+IF(J307="x",1)+IF($M$76="x",2)+J305+IF($M$85="x",1)+IF($M$113="x",1)+IF($M$120="x",2)+IF($M$119="x",2)+IF($M$105="x",1)+IF($M$110="x",1)+IF($M$111="x",2)+IF($M$112="x",4)+IF($M$108="x",1)-IF($M$109="x",1)-IF($M$99="x",1)+IF($M$90="x",1)-IF($C$97="x",4,10)-5,
IF(AND($C$90="x",$C$118="x"),SUM($C$3,$I$2)-$C$120+IF($C$75="x",2)+$I$16-$B$10+$M$94+IF($C$77="x",2)-IF($C$78="x",4)-IF($I$78="x",1)-IF($C$79="x",4)+IF($C$80="x",1)-IF($I$77="x",2)-IF($I$90="x",2)+IF($I$83="x",2)-IF($C$83="x",4)-$C$112+IF(H305="x",1)+I305+$M$77+IF(H307="x",1)+IF(J307="x",1)+IF($M$76="x",2)+J305+IF($M$85="x",1)+IF($M$113="x",1)+IF($M$120="x",2)+IF($M$119="x",2)+IF($M$105="x",1)+IF($M$110="x",1)+IF($M$111="x",2)+IF($M$112="x",4)+IF($M$108="x",1)-IF($M$109="x",1)+IF($M$99="x",20)-IF($M$99="x",1)+IF($M$90="x",1)-IF($C$97="x",4,10)
&amp;"/"&amp;SUM($C$3,$I$2)-$C$120+IF($C$75="x",2)+$I$16-$B$10+$M$94+IF($C$77="x",2)-IF($C$78="x",4)-IF($I$78="x",1)-IF($C$79="x",4)+IF($C$80="x",1)-IF($I$77="x",2)-IF($I$90="x",2)+IF($I$83="x",2)-IF($C$83="x",4)-$C$112-5+IF(H305="x",1)+I305+$M$77+IF(H307="x",1)+IF(J307="x",1)+IF($M$76="x",2)+J305+IF($M$85="x",1)+IF($M$113="x",1)+IF($M$120="x",2)+IF($M$119="x",2)+IF($M$105="x",1)+IF($M$110="x",1)+IF($M$111="x",2)+IF($M$112="x",4)+IF($M$108="x",1)-IF($M$109="x",1)-IF($M$99="x",1)+IF($M$90="x",1)-IF($C$97="x",4,10)
&amp;"/"&amp;SUM($C$3,$I$2)-$C$120+IF($C$75="x",2)+$I$16-$B$10+$M$94+IF($C$77="x",2)-IF($C$78="x",4)-IF($I$78="x",1)-IF($C$79="x",4)+IF($C$80="x",1)-IF($I$77="x",2)-IF($I$90="x",2)+IF($I$83="x",2)-IF($C$83="x",4)-$C$112-10+IF(H305="x",1)+I305+$M$77+IF(H307="x",1)+IF(J307="x",1)+IF($M$76="x",2)+J305+IF($M$85="x",1)+IF($M$113="x",1)+IF($M$120="x",2)+IF($M$119="x",2)+IF($M$105="x",1)+IF($M$110="x",1)+IF($M$111="x",2)+IF($M$112="x",4)+IF($M$108="x",1)-IF($M$109="x",1)-IF($M$99="x",1)+IF($M$90="x",1)-IF($C$97="x",4,10)))))</f>
        <v>-10</v>
      </c>
      <c r="C309" s="123" t="str">
        <f>_xlfn.IFS($C$7="Minimaalinen","1n2",$C$7="Taskukokoinen","1n3",$C$7="Hyvin pieni","1n4",$C$7="Pieni","1n6",$C$7="Keskikokoinen","1n8",$C$7="Iso","2n6",$C$7="Valtava","3n6",$C$7="Suunnaton","4n6",$C$7="Giganttinen","7n6")</f>
        <v>1n8</v>
      </c>
      <c r="D309" s="123">
        <f>INT($I$2/2)+($C$120)+I305+$M$77+IF(I307="x",2)+IF(K307="x",2)+IF($M$119="x",2)+IF($M$108="x",1)+$M$94+K305-IF($M$109="x",1)</f>
        <v>0</v>
      </c>
      <c r="E309" s="54" t="str">
        <f>_xlfn.IFS($C$7="Minimaalinen","2n2",$C$7="Taskukokoinen","2n3",$C$7="Hyvin pieni","2n4",$C$7="Pieni","2n6",$C$7="Keskikokoinen","2n8",$C$7="Iso","4n6",$C$7="Valtava","6n6",$C$7="Suunnaton","8n6",$C$7="Giganttinen","12n6")</f>
        <v>2n8</v>
      </c>
      <c r="F309" s="124">
        <f>SUM(D309*2)</f>
        <v>0</v>
      </c>
      <c r="G309" s="124" t="str">
        <f>(IF($I$89="x","50 %","")&amp;(IF($C$81="x","20 %",""))&amp;(IF($C$82="x","50 %","")))</f>
        <v/>
      </c>
      <c r="H309" s="40"/>
      <c r="I309" s="138"/>
      <c r="J309" s="131"/>
      <c r="K309" s="135"/>
      <c r="AB309" s="50"/>
      <c r="AC309" s="51"/>
      <c r="AD309" s="49"/>
      <c r="AE309" s="51"/>
      <c r="AF309" s="49"/>
      <c r="AG309" s="40"/>
      <c r="AH309" s="49"/>
      <c r="AI309" s="40"/>
      <c r="AJ309" s="40"/>
      <c r="AK309" s="40"/>
      <c r="AL309" s="40"/>
    </row>
    <row r="310" spans="1:38" x14ac:dyDescent="0.2">
      <c r="B310" s="15"/>
      <c r="C310" s="15"/>
      <c r="D310" s="15"/>
      <c r="F310" s="15"/>
      <c r="G310" s="15"/>
      <c r="H310" s="15"/>
      <c r="I310" s="15"/>
      <c r="AB310" s="50"/>
      <c r="AC310" s="49"/>
      <c r="AD310" s="49"/>
      <c r="AE310" s="51"/>
      <c r="AF310" s="49"/>
      <c r="AG310" s="40"/>
      <c r="AH310" s="49"/>
      <c r="AI310" s="48"/>
    </row>
    <row r="311" spans="1:38" x14ac:dyDescent="0.2">
      <c r="B311" s="15"/>
      <c r="C311" s="15"/>
      <c r="D311" s="15"/>
      <c r="F311" s="15"/>
      <c r="G311" s="15"/>
      <c r="H311" s="15"/>
      <c r="I311" s="15"/>
      <c r="AB311" s="52"/>
      <c r="AC311" s="53"/>
      <c r="AD311" s="54"/>
      <c r="AE311" s="53"/>
      <c r="AF311" s="54"/>
      <c r="AG311" s="54"/>
      <c r="AH311" s="54"/>
      <c r="AI311" s="40"/>
      <c r="AJ311" s="40"/>
      <c r="AL311" s="49"/>
    </row>
    <row r="312" spans="1:38" x14ac:dyDescent="0.2">
      <c r="A312" s="10" t="s">
        <v>303</v>
      </c>
      <c r="B312" s="11" t="s">
        <v>1</v>
      </c>
      <c r="C312" s="11" t="s">
        <v>2</v>
      </c>
      <c r="D312" s="11" t="s">
        <v>3</v>
      </c>
      <c r="E312" s="11" t="s">
        <v>229</v>
      </c>
      <c r="F312" s="11" t="s">
        <v>3</v>
      </c>
      <c r="G312" s="11" t="s">
        <v>45</v>
      </c>
      <c r="H312" s="14" t="s">
        <v>179</v>
      </c>
      <c r="I312" s="130" t="s">
        <v>242</v>
      </c>
      <c r="J312" s="130" t="s">
        <v>224</v>
      </c>
      <c r="K312" s="130" t="s">
        <v>225</v>
      </c>
    </row>
    <row r="313" spans="1:38" x14ac:dyDescent="0.2">
      <c r="A313" s="85" t="s">
        <v>219</v>
      </c>
      <c r="B313" s="98">
        <f>IF($I$85="x","PAINISSA",IF($C$3&lt;=5,SUM($C$3,$I$2)-$C$120+IF($C$75="x",2)+$I$16-$B$10+$M$94+IF($C$77="x",2)-IF($C$78="x",4)-IF($I$78="x",1)-IF($C$79="x",4)+IF($C$80="x",1)-IF($I$77="x",2)-IF($I$90="x",2)+IF($I$83="x",2)-IF($C$75="x",4)-$C$112+IF(H313="x",1)+I313+$M$77+IF(H315="x",1)+IF(J315="x",1)+IF($M$76="x",2)+J313+IF($M$85="x",1)+IF($M$113="x",1)+IF($M$120="x",2)+IF($M$119="x",2)+IF($M$105="x",1)+IF($M$110="x",1)+IF($M$111="x",2)+IF($M$112="x",4)+IF($M$108="x",1)-IF($M$109="x",1)-IF($M$99="x",1)+IF($M$90="x",1),
IF(AND($C$3&gt;5,$C$3&lt;11),SUM($C$3,$I$2)-$C$120+IF($C$75="x",2)+$I$16-$B$10+$M$94+IF($C$77="x",2)-IF($C$78="x",4)-IF($I$78="x",1)-IF($C$79="x",4)+IF($C$80="x",1)-IF($I$77="x",2)-IF($I$90="x",2)+IF($I$83="x",2)-IF($C$83="x",4)-$C$112+IF(H313="x",1)+I313+$M$77+IF(H315="x",1)+IF(J315="x",1)+IF($M$76="x",2)+J313+IF($M$85="x",1)+IF($M$113="x",1)+IF($M$120="x",2)+IF($M$119="x",2)+IF($M$105="x",1)+IF($M$110="x",1)+IF($M$111="x",2)+IF($M$112="x",4)+IF($M$108="x",1)-IF($M$109="x",1)-IF($M$99="x",1)+IF($M$90="x",1)
&amp;"/"&amp;SUM($C$3,$I$2)-$C$120+IF($C$75="x",2)+$I$16-$B$10+$M$94+IF($C$77="x",2)-IF($C$78="x",4)-IF($I$78="x",1)-IF($C$79="x",4)+IF($C$80="x",1)-IF($I$77="x",2)-IF($I$90="x",2)+IF($I$83="x",2)-IF($C$83="x",4)-$C$112-5+IF(H313="x",1)+I313+$M$77+IF(H315="x",1)+IF(J315="x",1)+IF($M$76="x",2)+J313+IF($M$85="x",1)+IF($M$113="x",1)+IF($M$120="x",2)+IF($M$119="x",2)+IF($M$105="x",1)+IF($M$110="x",1)+IF($M$111="x",2)+IF($M$112="x",4)+IF($M$108="x",1)-IF($M$109="x",1)-IF($M$99="x",1)+IF($M$90="x",1),
IF(AND($C$3&gt;10,$C$3&lt;16),SUM($C$3,$I$2)-$C$120+IF($C$75="x",2)+$I$16-$B$10+$M$94+IF($C$77="x",2)-IF($C$78="x",4)-IF($I$78="x",1)-IF($C$79="x",4)+IF($C$80="x",1)-IF($I$77="x",2)-IF($I$90="x",2)+IF($I$83="x",2)-IF($C$83="x",4)-$C$112+IF(H313="x",1)+I313+$M$77+IF(H315="x",1)+IF(J315="x",1)+IF($M$76="x",2)+J313+IF($M$85="x",1)+IF($M$113="x",1)+IF($M$120="x",2)+IF($M$119="x",2)+IF($M$105="x",1)+IF($M$110="x",1)+IF($M$111="x",2)+IF($M$112="x",4)+IF($M$108="x",1)-IF($M$109="x",1)+IF($M$99="x",20)-IF($M$99="x",1)+IF($M$90="x",1)
&amp;"/"&amp;SUM($C$3,$I$2)-$C$120+IF($C$75="x",2)+$I$16-$B$10+$M$94+IF($C$77="x",2)-IF($C$78="x",4)-IF($I$78="x",1)-IF($C$79="x",4)+IF($C$80="x",1)-IF($I$77="x",2)-IF($I$90="x",2)+IF($I$83="x",2)-IF($C$83="x",4)-$C$112-5+IF(H683="x",1)+IF(H313="x",1)+I313+$M$77+IF(H315="x",1)+IF(J315="x",1)+IF($M$76="x",2)+J313+IF($M$85="x",1)+IF($M$113="x",1)+IF($M$120="x",2)+IF($M$119="x",2)+IF($M$105="x",1)+IF($M$110="x",1)+IF($M$111="x",2)+IF($M$112="x",4)+IF($M$108="x",1)-IF($M$109="x",1)-IF($M$99="x",1)+IF($M$90="x",1)
&amp;"/"&amp;SUM($C$3,$I$2)-$C$120+IF($C$75="x",2)+$I$16-$B$10+$M$94+IF($C$77="x",2)-IF($C$78="x",4)-IF($I$78="x",1)-IF($C$79="x",4)+IF($C$80="x",1)-IF($I$77="x",2)-IF($I$90="x",2)+IF($I$83="x",2)-IF($C$83="x",4)-$C$112-10+IF(H683="x",1)+IF(H313="x",1)+I313+$M$77+IF(H315="x",1)+IF(J315="x",1)+IF($M$76="x",2)+J313+IF($M$85="x",1)+IF($M$113="x",1)+IF($M$120="x",2)+IF($M$119="x",2)+IF($M$105="x",1)+IF($M$110="x",1)+IF($M$111="x",2)+IF($M$112="x",4)+IF($M$108="x",1)-IF($M$109="x",1)-IF($M$99="x",1)+IF($M$90="x",1),
IF(AND($C$3&gt;15),SUM($C$3,$I$2)-$C$120+IF($C$75="x",2)+$I$16-$B$10+$M$94+IF($C$77="x",2)-IF($C$78="x",4)-IF($I$78="x",1)-IF($C$79="x",4)+IF($C$80="x",1)-IF($I$77="x",2)-IF($I$90="x",2)+IF($I$83="x",2)-IF($C$83="x",4)-$C$112+IF(H313="x",1)+I313+$M$77+IF(H315="x",1)+IF(J315="x",1)+IF($M$76="x",2)+J313+IF($M$85="x",1)+IF($M$113="x",1)+IF($M$120="x",2)+IF($M$119="x",2)+IF($M$105="x",1)+IF($M$110="x",1)+IF($M$111="x",2)+IF($M$112="x",4)+IF($M$108="x",1)-IF($M$109="x",1)-IF($M$99="x",1)+IF($M$90="x",1)
&amp;"/"&amp;SUM($C$3,$I$2)-$C$120+IF($C$75="x",2)+$I$16-$B$10+$M$94+IF($C$77="x",2)-IF($C$78="x",4)-IF($I$78="x",1)-IF($C$79="x",4)+IF($C$80="x",1)-IF($I$77="x",2)-IF($I$90="x",2)+IF($I$83="x",2)-IF($C$83="x",4)-$C$112-5+IF(H683="x",1)+IF(H313="x",1)+I313+$M$77+IF(H315="x",1)+IF(J315="x",1)+IF($M$76="x",2)+J313+IF($M$85="x",1)+IF($M$113="x",1)+IF($M$120="x",2)+IF($M$119="x",2)+IF($M$105="x",1)+IF($M$110="x",1)+IF($M$111="x",2)+IF($M$112="x",4)+IF($M$108="x",1)-IF($M$109="x",1)-IF($M$99="x",1)+IF($M$90="x",1)
&amp;"/"&amp;SUM($C$3,$I$2)-$C$120+IF($C$75="x",2)+$I$16-$B$10+$M$94+IF($C$77="x",2)-IF($C$78="x",4)-IF($I$78="x",1)-IF($C$79="x",4)+IF($C$80="x",1)-IF($I$77="x",2)-IF($I$90="x",2)+IF($I$83="x",2)-IF($C$83="x",4)-$C$112-10+IF(H683="x",1)+IF(H313="x",1)+I313+$M$77+IF(H315="x",1)+IF(J315="x",1)+IF($M$76="x",2)+J313+IF($M$85="x",1)+IF($M$113="x",1)+IF($M$120="x",2)+IF($M$119="x",2)+IF($M$105="x",1)+IF($M$110="x",1)+IF($M$111="x",2)+IF($M$112="x",4)+IF($M$108="x",1)-IF($M$109="x",1)-IF($M$99="x",1)+IF($M$90="x",1)
&amp;"/"&amp;SUM($C$3,$I$2)-$C$120+IF($C$75="x",2)+$I$16-$B$10+$M$94+IF($C$77="x",2)-IF($C$78="x",4)-IF($I$78="x",1)-IF($C$79="x",4)+IF($C$80="x",1)-IF($I$77="x",2)-IF($I$90="x",2)+IF($I$83="x",2)-IF($C$83="x",4)-$C$112-15+IF(H683="x",1)+IF(H313="x",1)+I313+$M$77+IF(H315="x",1)+IF(J315="x",1)+IF($M$76="x",2)+J313+IF($M$85="x",1)+IF($M$113="x",1)+IF($M$120="x",2)+IF($M$119="x",2)+IF($M$105="x",1)+IF($M$110="x",1)+IF($M$111="x",2)+IF($M$112="x",4)+IF($M$108="x",1)-IF($M$109="x",1)-IF($M$99="x",1)+IF($M$90="x",1))))))</f>
        <v>0</v>
      </c>
      <c r="C313" s="66" t="str">
        <f>_xlfn.IFS($C$7="Minimaalinen","1n2",$C$7="Taskukokoinen","1n3",$C$7="Hyvin pieni","1n4",$C$7="Pieni","1n6",$C$7="Keskikokoinen","1n8",$C$7="Iso","2n6",$C$7="Valtava","3n6",$C$7="Suunnaton","4n6",$C$7="Giganttinen","6n6")</f>
        <v>1n8</v>
      </c>
      <c r="D313" s="97">
        <f>SUM($I$2+$C$120)+I313+$M$77+IF(I315="x",2)+IF(K315="x",2)+IF($M$119="x",2)+IF($M$108="x",1)+$M$94-IF($M$109="x",1)+K313</f>
        <v>0</v>
      </c>
      <c r="E313" s="66" t="str">
        <f>_xlfn.IFS($C$7="Minimaalinen","2n2",$C$7="Taskukokoinen","2n3",$C$7="Hyvin pieni","2n4",$C$7="Pieni","2n6",$C$7="Keskikokoinen","2n8",$C$7="Iso","4n6",$C$7="Valtava","6n6",$C$7="Suunnaton","8n6",$C$7="Giganttinen","12n6")</f>
        <v>2n8</v>
      </c>
      <c r="F313" s="98">
        <f>SUM(D313*2)</f>
        <v>0</v>
      </c>
      <c r="G313" s="98" t="str">
        <f>(IF($I$89="x","50 %","")&amp;(IF($C$81="x","20 %",""))&amp;(IF($C$82="x","50 %","")))</f>
        <v/>
      </c>
      <c r="H313" s="28"/>
      <c r="I313" s="17">
        <v>0</v>
      </c>
      <c r="J313" s="17">
        <v>0</v>
      </c>
      <c r="K313" s="17">
        <v>0</v>
      </c>
    </row>
    <row r="314" spans="1:38" x14ac:dyDescent="0.2">
      <c r="A314" s="58" t="s">
        <v>8</v>
      </c>
      <c r="B314" s="119">
        <f>IF($I$85="x","PAINISSA",IF($C$3&lt;=5,SUM($C$3,$I$2)-$C$120+IF($C$75="x",2)+$I$16-$B$10+$M$94+IF($C$77="x",2)-IF($C$78="x",4)-IF($I$78="x",1)-IF($C$79="x",4)+IF($C$80="x",1)-IF($I$77="x",2)-IF($I$90="x",2)+IF($I$83="x",2)-IF($C$75="x",4)-$C$112+IF(H313="x",1)+I313+$M$77+IF(H315="x",1)+IF(J315="x",1)+IF($M$76="x",2)+J313+IF($M$85="x",1)+IF($M$113="x",1)+IF($M$120="x",2)+IF($M$119="x",2)+IF($M$105="x",1)+IF($M$110="x",1)+IF($M$111="x",2)+IF($M$112="x",4)+IF($M$108="x",1)-IF($M$109="x",1)-IF($M$99="x",1)+IF($M$90="x",1),
IF(AND($C$3&gt;5,$C$3&lt;11),SUM($C$3,$I$2)-$C$120+IF($C$75="x",2)+$I$16-$B$10+$M$94+IF($C$77="x",2)-IF($C$78="x",4)-IF($I$78="x",1)-IF($C$79="x",4)+IF($C$80="x",1)-IF($I$77="x",2)-IF($I$90="x",2)+IF($I$83="x",2)-IF($C$83="x",4)-$C$112+IF(H313="x",1)+I313+$M$77+IF(H315="x",1)+IF(J315="x",1)+IF($M$76="x",2)+J313+IF($M$85="x",1)+IF($M$113="x",1)+IF($M$120="x",2)+IF($M$119="x",2)+IF($M$105="x",1)+IF($M$110="x",1)+IF($M$111="x",2)+IF($M$112="x",4)+IF($M$108="x",1)-IF($M$109="x",1)-IF($M$99="x",1)+IF($M$90="x",1)
&amp;"/"&amp;SUM($C$3,$I$2)-$C$120+IF($C$75="x",2)+$I$16-$B$10+$M$94+IF($C$77="x",2)-IF($C$78="x",4)-IF($I$78="x",1)-IF($C$79="x",4)+IF($C$80="x",1)-IF($I$77="x",2)-IF($I$90="x",2)+IF($I$83="x",2)-IF($C$83="x",4)-$C$112-5+IF(H313="x",1)+I313+$M$77+IF(H315="x",1)+IF(J315="x",1)+IF($M$76="x",2)+J313+IF($M$85="x",1)+IF($M$113="x",1)+IF($M$120="x",2)+IF($M$119="x",2)+IF($M$105="x",1)+IF($M$110="x",1)+IF($M$111="x",2)+IF($M$112="x",4)+IF($M$108="x",1)-IF($M$109="x",1)-IF($M$99="x",1)+IF($M$90="x",1),
IF(AND($C$3&gt;10,$C$3&lt;16),SUM($C$3,$I$2)-$C$120+IF($C$75="x",2)+$I$16-$B$10+$M$94+IF($C$77="x",2)-IF($C$78="x",4)-IF($I$78="x",1)-IF($C$79="x",4)+IF($C$80="x",1)-IF($I$77="x",2)-IF($I$90="x",2)+IF($I$83="x",2)-IF($C$83="x",4)-$C$112+IF(H313="x",1)+I313+$M$77+IF(H315="x",1)+IF(J315="x",1)+IF($M$76="x",2)+J313+IF($M$85="x",1)+IF($M$113="x",1)+IF($M$120="x",2)+IF($M$119="x",2)+IF($M$105="x",1)+IF($M$110="x",1)+IF($M$111="x",2)+IF($M$112="x",4)+IF($M$108="x",1)-IF($M$109="x",1)+IF($M$99="x",20)-IF($M$99="x",1)+IF($M$90="x",1)
&amp;"/"&amp;SUM($C$3,$I$2)-$C$120+IF($C$75="x",2)+$I$16-$B$10+$M$94+IF($C$77="x",2)-IF($C$78="x",4)-IF($I$78="x",1)-IF($C$79="x",4)+IF($C$80="x",1)-IF($I$77="x",2)-IF($I$90="x",2)+IF($I$83="x",2)-IF($C$83="x",4)-$C$112-5+IF(H683="x",1)+IF(H313="x",1)+I313+$M$77+IF(H315="x",1)+IF(J315="x",1)+IF($M$76="x",2)+J313+IF($M$85="x",1)+IF($M$113="x",1)+IF($M$120="x",2)+IF($M$119="x",2)+IF($M$105="x",1)+IF($M$110="x",1)+IF($M$111="x",2)+IF($M$112="x",4)+IF($M$108="x",1)-IF($M$109="x",1)-IF($M$99="x",1)+IF($M$90="x",1)
&amp;"/"&amp;SUM($C$3,$I$2)-$C$120+IF($C$75="x",2)+$I$16-$B$10+$M$94+IF($C$77="x",2)-IF($C$78="x",4)-IF($I$78="x",1)-IF($C$79="x",4)+IF($C$80="x",1)-IF($I$77="x",2)-IF($I$90="x",2)+IF($I$83="x",2)-IF($C$83="x",4)-$C$112-10+IF(H683="x",1)+IF(H313="x",1)+I313+$M$77+IF(H315="x",1)+IF(J315="x",1)+IF($M$76="x",2)+J313+IF($M$85="x",1)+IF($M$113="x",1)+IF($M$120="x",2)+IF($M$119="x",2)+IF($M$105="x",1)+IF($M$110="x",1)+IF($M$111="x",2)+IF($M$112="x",4)+IF($M$108="x",1)-IF($M$109="x",1)-IF($M$99="x",1)+IF($M$90="x",1),
IF(AND($C$3&gt;15),SUM($C$3,$I$2)-$C$120+IF($C$75="x",2)+$I$16-$B$10+$M$94+IF($C$77="x",2)-IF($C$78="x",4)-IF($I$78="x",1)-IF($C$79="x",4)+IF($C$80="x",1)-IF($I$77="x",2)-IF($I$90="x",2)+IF($I$83="x",2)-IF($C$83="x",4)-$C$112+IF(H313="x",1)+I313+$M$77+IF(H315="x",1)+IF(J315="x",1)+IF($M$76="x",2)+J313+IF($M$85="x",1)+IF($M$113="x",1)+IF($M$120="x",2)+IF($M$119="x",2)+IF($M$105="x",1)+IF($M$110="x",1)+IF($M$111="x",2)+IF($M$112="x",4)+IF($M$108="x",1)-IF($M$109="x",1)-IF($M$99="x",1)+IF($M$90="x",1)
&amp;"/"&amp;SUM($C$3,$I$2)-$C$120+IF($C$75="x",2)+$I$16-$B$10+$M$94+IF($C$77="x",2)-IF($C$78="x",4)-IF($I$78="x",1)-IF($C$79="x",4)+IF($C$80="x",1)-IF($I$77="x",2)-IF($I$90="x",2)+IF($I$83="x",2)-IF($C$83="x",4)-$C$112-5+IF(H683="x",1)+IF(H313="x",1)+I313+$M$77+IF(H315="x",1)+IF(J315="x",1)+IF($M$76="x",2)+J313+IF($M$85="x",1)+IF($M$113="x",1)+IF($M$120="x",2)+IF($M$119="x",2)+IF($M$105="x",1)+IF($M$110="x",1)+IF($M$111="x",2)+IF($M$112="x",4)+IF($M$108="x",1)-IF($M$109="x",1)-IF($M$99="x",1)+IF($M$90="x",1)
&amp;"/"&amp;SUM($C$3,$I$2)-$C$120+IF($C$75="x",2)+$I$16-$B$10+$M$94+IF($C$77="x",2)-IF($C$78="x",4)-IF($I$78="x",1)-IF($C$79="x",4)+IF($C$80="x",1)-IF($I$77="x",2)-IF($I$90="x",2)+IF($I$83="x",2)-IF($C$83="x",4)-$C$112-10+IF(H683="x",1)+IF(H313="x",1)+I313+$M$77+IF(H315="x",1)+IF(J315="x",1)+IF($M$76="x",2)+J313+IF($M$85="x",1)+IF($M$113="x",1)+IF($M$120="x",2)+IF($M$119="x",2)+IF($M$105="x",1)+IF($M$110="x",1)+IF($M$111="x",2)+IF($M$112="x",4)+IF($M$108="x",1)-IF($M$109="x",1)-IF($M$99="x",1)+IF($M$90="x",1)
&amp;"/"&amp;SUM($C$3,$I$2)-$C$120+IF($C$75="x",2)+$I$16-$B$10+$M$94+IF($C$77="x",2)-IF($C$78="x",4)-IF($I$78="x",1)-IF($C$79="x",4)+IF($C$80="x",1)-IF($I$77="x",2)-IF($I$90="x",2)+IF($I$83="x",2)-IF($C$83="x",4)-$C$112-15+IF(H683="x",1)+IF(H313="x",1)+I313+$M$77+IF(H315="x",1)+IF(J315="x",1)+IF($M$76="x",2)+J313+IF($M$85="x",1)+IF($M$113="x",1)+IF($M$120="x",2)+IF($M$119="x",2)+IF($M$105="x",1)+IF($M$110="x",1)+IF($M$111="x",2)+IF($M$112="x",4)+IF($M$108="x",1)-IF($M$109="x",1)-IF($M$99="x",1)+IF($M$90="x",1))))))</f>
        <v>0</v>
      </c>
      <c r="C314" s="114" t="str">
        <f>_xlfn.IFS($C$7="Minimaalinen","1n2",$C$7="Taskukokoinen","1n3",$C$7="Hyvin pieni","1n4",$C$7="Pieni","1n6",$C$7="Keskikokoinen","1n8",$C$7="Iso","2n6",$C$7="Valtava","3n6",$C$7="Suunnaton","4n6",$C$7="Giganttinen","6n6")</f>
        <v>1n8</v>
      </c>
      <c r="D314" s="119">
        <f>IF($I$2&lt;0,$I$2,INT($I$2*1.5))+($C$120*2)+I313+$M$77+IF(I315="x",2)+IF(K315="x",2)+IF($M$119="x",2)+IF($M$108="x",1)+$M$94-IF($M$109="x",1)+K313</f>
        <v>0</v>
      </c>
      <c r="E314" s="114" t="str">
        <f>_xlfn.IFS($C$7="Minimaalinen","2n2",$C$7="Taskukokoinen","2n3",$C$7="Hyvin pieni","2n4",$C$7="Pieni","2n6",$C$7="Keskikokoinen","2n8",$C$7="Iso","4n6",$C$7="Valtava","6n6",$C$7="Suunnaton","8n6",$C$7="Giganttinen","12n6")</f>
        <v>2n8</v>
      </c>
      <c r="F314" s="120">
        <f>SUM(D314*2)</f>
        <v>0</v>
      </c>
      <c r="G314" s="120" t="str">
        <f>(IF($I$89="x","50 %","")&amp;(IF($C$81="x","20 %",""))&amp;(IF($C$82="x","50 %","")))</f>
        <v/>
      </c>
      <c r="H314" s="14" t="s">
        <v>220</v>
      </c>
      <c r="I314" s="14" t="s">
        <v>221</v>
      </c>
      <c r="J314" s="14" t="s">
        <v>222</v>
      </c>
      <c r="K314" s="14" t="s">
        <v>223</v>
      </c>
      <c r="AB314" s="46"/>
      <c r="AC314" s="48"/>
      <c r="AD314" s="48"/>
      <c r="AE314" s="48"/>
      <c r="AF314" s="48"/>
      <c r="AG314" s="48"/>
      <c r="AH314" s="48"/>
      <c r="AI314" s="48"/>
      <c r="AJ314" s="48"/>
      <c r="AK314" s="48"/>
      <c r="AL314" s="48"/>
    </row>
    <row r="315" spans="1:38" x14ac:dyDescent="0.2">
      <c r="A315" s="25" t="s">
        <v>438</v>
      </c>
      <c r="B315" s="121">
        <f>IF($I$85="x","PAINISSA",IF($C$3&lt;=5,SUM($C$3,$I$2)-$C$120+IF($C$75="x",2)+$I$16-$B$10+$M$94+IF($C$77="x",2)-IF($C$78="x",4)-IF($I$78="x",1)-IF($C$79="x",4)+IF($C$80="x",1)-IF($I$77="x",2)-IF($I$90="x",2)+IF($I$83="x",2)-IF($C$75="x",4)-$C$112+IF(H313="x",1)+I313+$M$77+IF(H315="x",1)+IF(J315="x",1)+IF($M$76="x",2)+J313+IF($M$85="x",1)+IF($M$113="x",1)+IF($M$120="x",2)+IF($M$119="x",2)+IF($M$105="x",1)+IF($M$110="x",1)+IF($M$111="x",2)+IF($M$112="x",4)+IF($M$108="x",1)-IF($M$109="x",1)-IF($M$99="x",1)+IF($M$90="x",1)-IF($C$97="x",2,4),
IF(AND($C$3&gt;5,$C$3&lt;11),SUM($C$3,$I$2)-$C$120+IF($C$75="x",2)+$I$16-$B$10+$M$94+IF($C$77="x",2)-IF($C$78="x",4)-IF($I$78="x",1)-IF($C$79="x",4)+IF($C$80="x",1)-IF($I$77="x",2)-IF($I$90="x",2)+IF($I$83="x",2)-IF($C$83="x",4)-$C$112+IF(H313="x",1)+I313+$M$77+IF(H315="x",1)+IF(J315="x",1)+IF($M$76="x",2)+J313+IF($M$85="x",1)+IF($M$113="x",1)+IF($M$120="x",2)+IF($M$119="x",2)+IF($M$105="x",1)+IF($M$110="x",1)+IF($M$111="x",2)+IF($M$112="x",4)+IF($M$108="x",1)-IF($M$109="x",1)-IF($M$99="x",1)+IF($M$90="x",1)-IF($C$97="x",2,4)
&amp;"/"&amp;SUM($C$3,$I$2)-$C$120+IF($C$75="x",2)+$I$16-$B$10+$M$94+IF($C$77="x",2)-IF($C$78="x",4)-IF($I$78="x",1)-IF($C$79="x",4)+IF($C$80="x",1)-IF($I$77="x",2)-IF($I$90="x",2)+IF($I$83="x",2)-IF($C$83="x",4)-$C$112-5+IF(H313="x",1)+I313+$M$77+IF(H315="x",1)+IF(J315="x",1)+IF($M$76="x",2)+J313+IF($M$85="x",1)+IF($M$113="x",1)+IF($M$120="x",2)+IF($M$119="x",2)+IF($M$105="x",1)+IF($M$110="x",1)+IF($M$111="x",2)+IF($M$112="x",4)+IF($M$108="x",1)-IF($M$109="x",1)-IF($M$99="x",1)+IF($M$90="x",1)-IF($C$97="x",2,4),
IF(AND($C$3&gt;10,$C$3&lt;16),SUM($C$3,$I$2)-$C$120+IF($C$75="x",2)+$I$16-$B$10+$M$94+IF($C$77="x",2)-IF($C$78="x",4)-IF($I$78="x",1)-IF($C$79="x",4)+IF($C$80="x",1)-IF($I$77="x",2)-IF($I$90="x",2)+IF($I$83="x",2)-IF($C$83="x",4)-$C$112+IF(H313="x",1)+I313+$M$77+IF(H315="x",1)+IF(J315="x",1)+IF($M$76="x",2)+J313+IF($M$85="x",1)+IF($M$113="x",1)+IF($M$120="x",2)+IF($M$119="x",2)+IF($M$105="x",1)+IF($M$110="x",1)+IF($M$111="x",2)+IF($M$112="x",4)+IF($M$108="x",1)-IF($M$109="x",1)+IF($M$99="x",20)-IF($M$99="x",1)+IF($M$90="x",1)-IF($C$97="x",2,4)
&amp;"/"&amp;SUM($C$3,$I$2)-$C$120+IF($C$75="x",2)+$I$16-$B$10+$M$94+IF($C$77="x",2)-IF($C$78="x",4)-IF($I$78="x",1)-IF($C$79="x",4)+IF($C$80="x",1)-IF($I$77="x",2)-IF($I$90="x",2)+IF($I$83="x",2)-IF($C$83="x",4)-$C$112-5+IF(H683="x",1)+IF(H313="x",1)+I313+$M$77+IF(H315="x",1)+IF(J315="x",1)+IF($M$76="x",2)+J313+IF($M$85="x",1)+IF($M$113="x",1)+IF($M$120="x",2)+IF($M$119="x",2)+IF($M$105="x",1)+IF($M$110="x",1)+IF($M$111="x",2)+IF($M$112="x",4)+IF($M$108="x",1)-IF($M$109="x",1)-IF($M$99="x",1)+IF($M$90="x",1)-IF($C$97="x",2,4)
&amp;"/"&amp;SUM($C$3,$I$2)-$C$120+IF($C$75="x",2)+$I$16-$B$10+$M$94+IF($C$77="x",2)-IF($C$78="x",4)-IF($I$78="x",1)-IF($C$79="x",4)+IF($C$80="x",1)-IF($I$77="x",2)-IF($I$90="x",2)+IF($I$83="x",2)-IF($C$83="x",4)-$C$112-10+IF(H683="x",1)+IF(H313="x",1)+I313+$M$77+IF(H315="x",1)+IF(J315="x",1)+IF($M$76="x",2)+J313+IF($M$85="x",1)+IF($M$113="x",1)+IF($M$120="x",2)+IF($M$119="x",2)+IF($M$105="x",1)+IF($M$110="x",1)+IF($M$111="x",2)+IF($M$112="x",4)+IF($M$108="x",1)-IF($M$109="x",1)-IF($M$99="x",1)+IF($M$90="x",1)-IF($C$97="x",2,4),
IF(AND($C$3&gt;15),SUM($C$3,$I$2)-$C$120+IF($C$75="x",2)+$I$16-$B$10+$M$94+IF($C$77="x",2)-IF($C$78="x",4)-IF($I$78="x",1)-IF($C$79="x",4)+IF($C$80="x",1)-IF($I$77="x",2)-IF($I$90="x",2)+IF($I$83="x",2)-IF($C$83="x",4)-$C$112+IF(H313="x",1)+I313+$M$77+IF(H315="x",1)+IF(J315="x",1)+IF($M$76="x",2)+J313+IF($M$85="x",1)+IF($M$113="x",1)+IF($M$120="x",2)+IF($M$119="x",2)+IF($M$105="x",1)+IF($M$110="x",1)+IF($M$111="x",2)+IF($M$112="x",4)+IF($M$108="x",1)-IF($M$109="x",1)-IF($M$99="x",1)+IF($M$90="x",1)-IF($C$97="x",2,4)
&amp;"/"&amp;SUM($C$3,$I$2)-$C$120+IF($C$75="x",2)+$I$16-$B$10+$M$94+IF($C$77="x",2)-IF($C$78="x",4)-IF($I$78="x",1)-IF($C$79="x",4)+IF($C$80="x",1)-IF($I$77="x",2)-IF($I$90="x",2)+IF($I$83="x",2)-IF($C$83="x",4)-$C$112-5+IF(H683="x",1)+IF(H313="x",1)+I313+$M$77+IF(H315="x",1)+IF(J315="x",1)+IF($M$76="x",2)+J313+IF($M$85="x",1)+IF($M$113="x",1)+IF($M$120="x",2)+IF($M$119="x",2)+IF($M$105="x",1)+IF($M$110="x",1)+IF($M$111="x",2)+IF($M$112="x",4)+IF($M$108="x",1)-IF($M$109="x",1)-IF($M$99="x",1)+IF($M$90="x",1)-IF($C$97="x",2,4)
&amp;"/"&amp;SUM($C$3,$I$2)-$C$120+IF($C$75="x",2)+$I$16-$B$10+$M$94+IF($C$77="x",2)-IF($C$78="x",4)-IF($I$78="x",1)-IF($C$79="x",4)+IF($C$80="x",1)-IF($I$77="x",2)-IF($I$90="x",2)+IF($I$83="x",2)-IF($C$83="x",4)-$C$112-10+IF(H683="x",1)+IF(H313="x",1)+I313+$M$77+IF(H315="x",1)+IF(J315="x",1)+IF($M$76="x",2)+J313+IF($M$85="x",1)+IF($M$113="x",1)+IF($M$120="x",2)+IF($M$119="x",2)+IF($M$105="x",1)+IF($M$110="x",1)+IF($M$111="x",2)+IF($M$112="x",4)+IF($M$108="x",1)-IF($M$109="x",1)-IF($M$99="x",1)+IF($M$90="x",1)-IF($C$97="x",2,4)
&amp;"/"&amp;SUM($C$3,$I$2)-$C$120+IF($C$75="x",2)+$I$16-$B$10+$M$94+IF($C$77="x",2)-IF($C$78="x",4)-IF($I$78="x",1)-IF($C$79="x",4)+IF($C$80="x",1)-IF($I$77="x",2)-IF($I$90="x",2)+IF($I$83="x",2)-IF($C$83="x",4)-$C$112-15+IF(H683="x",1)+IF(H313="x",1)+I313+$M$77+IF(H315="x",1)+IF(J315="x",1)+IF($M$76="x",2)+J313+IF($M$85="x",1)+IF($M$113="x",1)+IF($M$120="x",2)+IF($M$119="x",2)+IF($M$105="x",1)+IF($M$110="x",1)+IF($M$111="x",2)+IF($M$112="x",4)+IF($M$108="x",1)-IF($M$109="x",1)-IF($M$99="x",1)+IF($M$90="x",1)-IF($C$97="x",2,4))))))</f>
        <v>-4</v>
      </c>
      <c r="C315" s="49" t="str">
        <f>_xlfn.IFS($C$7="Minimaalinen","1n2",$C$7="Taskukokoinen","1n3",$C$7="Hyvin pieni","1n4",$C$7="Pieni","1n6",$C$7="Keskikokoinen","1n8",$C$7="Iso","2n6",$C$7="Valtava","3n6",$C$7="Suunnaton","4n6",$C$7="Giganttinen","6n6")</f>
        <v>1n8</v>
      </c>
      <c r="D315" s="121">
        <f>SUM($I$2+$C$120)+I313+$M$77+IF(I315="x",2)+IF(K315="x",2)+IF($M$119="x",2)+IF($M$108="x",1)+$M$94-IF($M$109="x",1)+K313</f>
        <v>0</v>
      </c>
      <c r="E315" s="49" t="str">
        <f>_xlfn.IFS($C$7="Minimaalinen","2n2",$C$7="Taskukokoinen","2n3",$C$7="Hyvin pieni","2n4",$C$7="Pieni","2n6",$C$7="Keskikokoinen","2n8",$C$7="Iso","4n6",$C$7="Valtava","6n6",$C$7="Suunnaton","8n6",$C$7="Giganttinen","12n6")</f>
        <v>2n8</v>
      </c>
      <c r="F315" s="82">
        <f>SUM(D315*2)</f>
        <v>0</v>
      </c>
      <c r="G315" s="82" t="str">
        <f>(IF($I$89="x","50 %","")&amp;(IF($C$81="x","20 %",""))&amp;(IF($C$82="x","50 %","")))</f>
        <v/>
      </c>
      <c r="H315" s="28"/>
      <c r="I315" s="28"/>
      <c r="J315" s="28"/>
      <c r="K315" s="28"/>
      <c r="AB315" s="128"/>
      <c r="AC315" s="66"/>
      <c r="AD315" s="66"/>
      <c r="AE315" s="129"/>
      <c r="AF315" s="66"/>
      <c r="AG315" s="66"/>
      <c r="AH315" s="66"/>
      <c r="AI315" s="40"/>
      <c r="AJ315" s="40"/>
      <c r="AK315" s="40"/>
      <c r="AL315" s="40"/>
    </row>
    <row r="316" spans="1:38" x14ac:dyDescent="0.2">
      <c r="A316" s="25" t="s">
        <v>437</v>
      </c>
      <c r="B316" s="82">
        <f>IF($I$85="x","PAINISSA",IF($C$3&lt;=5,SUM($C$3,$I$2)-$C$120+IF($C$75="x",2)+$I$16-$B$10+$M$94+IF($C$77="x",2)-IF($C$78="x",4)-IF($I$78="x",1)-IF($C$79="x",4)+IF($C$80="x",1)-IF($I$77="x",2)-IF($I$90="x",2)+IF($I$83="x",2)-IF($C$75="x",4)-$C$112+IF(H313="x",1)+I313+$M$77+IF(H315="x",1)+IF(J315="x",1)+IF($M$76="x",2)+J313+IF($M$85="x",1)+IF($M$113="x",1)+IF($M$120="x",2)+IF($M$119="x",2)+IF($M$105="x",1)+IF($M$110="x",1)+IF($M$111="x",2)+IF($M$112="x",4)+IF($M$108="x",1)-IF($M$109="x",1)-IF($M$99="x",1)+IF($M$90="x",1)-IF($C$97="x",4,6),
IF(AND($C$3&gt;5,$C$3&lt;11),SUM($C$3,$I$2)-$C$120+IF($C$75="x",2)+$I$16-$B$10+$M$94+IF($C$77="x",2)-IF($C$78="x",4)-IF($I$78="x",1)-IF($C$79="x",4)+IF($C$80="x",1)-IF($I$77="x",2)-IF($I$90="x",2)+IF($I$83="x",2)-IF($C$83="x",4)-$C$112+IF(H313="x",1)+I313+$M$77+IF(H315="x",1)+IF(J315="x",1)+IF($M$76="x",2)+J313+IF($M$85="x",1)+IF($M$113="x",1)+IF($M$120="x",2)+IF($M$119="x",2)+IF($M$105="x",1)+IF($M$110="x",1)+IF($M$111="x",2)+IF($M$112="x",4)+IF($M$108="x",1)-IF($M$109="x",1)-IF($M$99="x",1)+IF($M$90="x",1)-IF($C$97="x",4,6)
&amp;"/"&amp;SUM($C$3,$I$2)-$C$120+IF($C$75="x",2)+$I$16-$B$10+$M$94+IF($C$77="x",2)-IF($C$78="x",4)-IF($I$78="x",1)-IF($C$79="x",4)+IF($C$80="x",1)-IF($I$77="x",2)-IF($I$90="x",2)+IF($I$83="x",2)-IF($C$83="x",4)-$C$112-5+IF(H313="x",1)+I313+$M$77+IF(H315="x",1)+IF(J315="x",1)+IF($M$76="x",2)+J313+IF($M$85="x",1)+IF($M$113="x",1)+IF($M$120="x",2)+IF($M$119="x",2)+IF($M$105="x",1)+IF($M$110="x",1)+IF($M$111="x",2)+IF($M$112="x",4)+IF($M$108="x",1)-IF($M$109="x",1)-IF($M$99="x",1)+IF($M$90="x",1)-IF($C$97="x",4,6),
IF(AND($C$3&gt;10,$C$3&lt;16),SUM($C$3,$I$2)-$C$120+IF($C$75="x",2)+$I$16-$B$10+$M$94+IF($C$77="x",2)-IF($C$78="x",4)-IF($I$78="x",1)-IF($C$79="x",4)+IF($C$80="x",1)-IF($I$77="x",2)-IF($I$90="x",2)+IF($I$83="x",2)-IF($C$83="x",4)-$C$112+IF(H313="x",1)+I313+$M$77+IF(H315="x",1)+IF(J315="x",1)+IF($M$76="x",2)+J313+IF($M$85="x",1)+IF($M$113="x",1)+IF($M$120="x",2)+IF($M$119="x",2)+IF($M$105="x",1)+IF($M$110="x",1)+IF($M$111="x",2)+IF($M$112="x",4)+IF($M$108="x",1)-IF($M$109="x",1)+IF($M$99="x",20)-IF($M$99="x",1)+IF($M$90="x",1)-IF($C$97="x",4,6)
&amp;"/"&amp;SUM($C$3,$I$2)-$C$120+IF($C$75="x",2)+$I$16-$B$10+$M$94+IF($C$77="x",2)-IF($C$78="x",4)-IF($I$78="x",1)-IF($C$79="x",4)+IF($C$80="x",1)-IF($I$77="x",2)-IF($I$90="x",2)+IF($I$83="x",2)-IF($C$83="x",4)-$C$112-5+IF(H683="x",1)+IF(H313="x",1)+I313+$M$77+IF(H315="x",1)+IF(J315="x",1)+IF($M$76="x",2)+J313+IF($M$85="x",1)+IF($M$113="x",1)+IF($M$120="x",2)+IF($M$119="x",2)+IF($M$105="x",1)+IF($M$110="x",1)+IF($M$111="x",2)+IF($M$112="x",4)+IF($M$108="x",1)-IF($M$109="x",1)-IF($M$99="x",1)+IF($M$90="x",1)-IF($C$97="x",4,6)
&amp;"/"&amp;SUM($C$3,$I$2)-$C$120+IF($C$75="x",2)+$I$16-$B$10+$M$94+IF($C$77="x",2)-IF($C$78="x",4)-IF($I$78="x",1)-IF($C$79="x",4)+IF($C$80="x",1)-IF($I$77="x",2)-IF($I$90="x",2)+IF($I$83="x",2)-IF($C$83="x",4)-$C$112-10+IF(H683="x",1)+IF(H313="x",1)+I313+$M$77+IF(H315="x",1)+IF(J315="x",1)+IF($M$76="x",2)+J313+IF($M$85="x",1)+IF($M$113="x",1)+IF($M$120="x",2)+IF($M$119="x",2)+IF($M$105="x",1)+IF($M$110="x",1)+IF($M$111="x",2)+IF($M$112="x",4)+IF($M$108="x",1)-IF($M$109="x",1)-IF($M$99="x",1)+IF($M$90="x",1)-IF($C$97="x",4,6),
IF(AND($C$3&gt;15),SUM($C$3,$I$2)-$C$120+IF($C$75="x",2)+$I$16-$B$10+$M$94+IF($C$77="x",2)-IF($C$78="x",4)-IF($I$78="x",1)-IF($C$79="x",4)+IF($C$80="x",1)-IF($I$77="x",2)-IF($I$90="x",2)+IF($I$83="x",2)-IF($C$83="x",4)-$C$112+IF(H313="x",1)+I313+$M$77+IF(H315="x",1)+IF(J315="x",1)+IF($M$76="x",2)+J313+IF($M$85="x",1)+IF($M$113="x",1)+IF($M$120="x",2)+IF($M$119="x",2)+IF($M$105="x",1)+IF($M$110="x",1)+IF($M$111="x",2)+IF($M$112="x",4)+IF($M$108="x",1)-IF($M$109="x",1)-IF($M$99="x",1)+IF($M$90="x",1)-IF($C$97="x",4,6)
&amp;"/"&amp;SUM($C$3,$I$2)-$C$120+IF($C$75="x",2)+$I$16-$B$10+$M$94+IF($C$77="x",2)-IF($C$78="x",4)-IF($I$78="x",1)-IF($C$79="x",4)+IF($C$80="x",1)-IF($I$77="x",2)-IF($I$90="x",2)+IF($I$83="x",2)-IF($C$83="x",4)-$C$112-5+IF(H683="x",1)+IF(H313="x",1)+I313+$M$77+IF(H315="x",1)+IF(J315="x",1)+IF($M$76="x",2)+J313+IF($M$85="x",1)+IF($M$113="x",1)+IF($M$120="x",2)+IF($M$119="x",2)+IF($M$105="x",1)+IF($M$110="x",1)+IF($M$111="x",2)+IF($M$112="x",4)+IF($M$108="x",1)-IF($M$109="x",1)-IF($M$99="x",1)+IF($M$90="x",1)-IF($C$97="x",4,6)
&amp;"/"&amp;SUM($C$3,$I$2)-$C$120+IF($C$75="x",2)+$I$16-$B$10+$M$94+IF($C$77="x",2)-IF($C$78="x",4)-IF($I$78="x",1)-IF($C$79="x",4)+IF($C$80="x",1)-IF($I$77="x",2)-IF($I$90="x",2)+IF($I$83="x",2)-IF($C$83="x",4)-$C$112-10+IF(H683="x",1)+IF(H313="x",1)+I313+$M$77+IF(H315="x",1)+IF(J315="x",1)+IF($M$76="x",2)+J313+IF($M$85="x",1)+IF($M$113="x",1)+IF($M$120="x",2)+IF($M$119="x",2)+IF($M$105="x",1)+IF($M$110="x",1)+IF($M$111="x",2)+IF($M$112="x",4)+IF($M$108="x",1)-IF($M$109="x",1)-IF($M$99="x",1)+IF($M$90="x",1)-IF($C$97="x",4,6)
&amp;"/"&amp;SUM($C$3,$I$2)-$C$120+IF($C$75="x",2)+$I$16-$B$10+$M$94+IF($C$77="x",2)-IF($C$78="x",4)-IF($I$78="x",1)-IF($C$79="x",4)+IF($C$80="x",1)-IF($I$77="x",2)-IF($I$90="x",2)+IF($I$83="x",2)-IF($C$83="x",4)-$C$112-15+IF(H683="x",1)+IF(H313="x",1)+I313+$M$77+IF(H315="x",1)+IF(J315="x",1)+IF($M$76="x",2)+J313+IF($M$85="x",1)+IF($M$113="x",1)+IF($M$120="x",2)+IF($M$119="x",2)+IF($M$105="x",1)+IF($M$110="x",1)+IF($M$111="x",2)+IF($M$112="x",4)+IF($M$108="x",1)-IF($M$109="x",1)-IF($M$99="x",1)+IF($M$90="x",1)-IF($C$97="x",4,6))))))</f>
        <v>-6</v>
      </c>
      <c r="C316" s="49" t="str">
        <f>_xlfn.IFS($C$7="Minimaalinen","1n2",$C$7="Taskukokoinen","1n3",$C$7="Hyvin pieni","1n4",$C$7="Pieni","1n6",$C$7="Keskikokoinen","1n8",$C$7="Iso","2n6",$C$7="Valtava","3n6",$C$7="Suunnaton","4n6",$C$7="Giganttinen","6n6")</f>
        <v>1n8</v>
      </c>
      <c r="D316" s="121">
        <f>SUM($I$2+$C$120)+I313+$M$77+IF(I315="x",2)+IF(K315="x",2)+IF($M$119="x",2)+IF($M$108="x",1)+$M$94-IF($M$109="x",1)+K313</f>
        <v>0</v>
      </c>
      <c r="E316" s="49" t="str">
        <f>_xlfn.IFS($C$7="Minimaalinen","2n2",$C$7="Taskukokoinen","2n3",$C$7="Hyvin pieni","2n4",$C$7="Pieni","2n6",$C$7="Keskikokoinen","2n8",$C$7="Iso","4n6",$C$7="Valtava","6n6",$C$7="Suunnaton","8n6",$C$7="Giganttinen","12n6")</f>
        <v>2n8</v>
      </c>
      <c r="F316" s="82">
        <f>SUM(D316*2)</f>
        <v>0</v>
      </c>
      <c r="G316" s="82" t="str">
        <f>(IF($I$89="x","50 %","")&amp;(IF($C$81="x","20 %",""))&amp;(IF($C$82="x","50 %","")))</f>
        <v/>
      </c>
      <c r="H316" s="11"/>
      <c r="I316" s="15"/>
      <c r="AB316" s="47"/>
      <c r="AC316" s="113"/>
      <c r="AD316" s="114"/>
      <c r="AE316" s="113"/>
      <c r="AF316" s="114"/>
      <c r="AG316" s="114"/>
      <c r="AH316" s="114"/>
      <c r="AI316" s="48"/>
      <c r="AJ316" s="48"/>
      <c r="AK316" s="48"/>
      <c r="AL316" s="48"/>
    </row>
    <row r="317" spans="1:38" x14ac:dyDescent="0.2">
      <c r="A317" s="122" t="s">
        <v>436</v>
      </c>
      <c r="B317" s="123">
        <f>IF($I$85="x","PAINISSA",IF(AND($C$90="",$C$118=""),SUM($C$3,$I$2)-$C$120+IF($C$75="x",2)+$I$16-$B$10+$M$94+IF($C$77="x",2)-IF($C$78="x",4)-IF($I$78="x",1)-IF($C$79="x",4)+IF($C$80="x",1)-IF($I$77="x",2)-IF($I$90="x",2)+IF($I$83="x",2)-IF($C$75="x",4)-$C$112+IF(H313="x",1)+I313+$M$77+IF(H315="x",1)+IF(J315="x",1)+IF($M$76="x",2)+J313+IF($M$85="x",1)+IF($M$113="x",1)+IF($M$120="x",2)+IF($M$119="x",2)+IF($M$105="x",1)+IF($M$110="x",1)+IF($M$111="x",2)+IF($M$112="x",4)+IF($M$108="x",1)-IF($M$109="x",1)-IF($M$99="x",1)+IF($M$90="x",1)-IF($C$97="x",4,10),
IF(AND($C$90="x",$C$118=""),SUM($C$3,$I$2)-$C$120+IF($C$75="x",2)+$I$16-$B$10+$M$94+IF($C$77="x",2)-IF($C$78="x",4)-IF($I$78="x",1)-IF($C$79="x",4)+IF($C$80="x",1)-IF($I$77="x",2)-IF($I$90="x",2)+IF($I$83="x",2)-IF($C$83="x",4)-$C$112+IF(H313="x",1)+I313+$M$77+IF(H315="x",1)+IF(J315="x",1)+IF($M$76="x",2)+J313+IF($M$85="x",1)+IF($M$113="x",1)+IF($M$120="x",2)+IF($M$119="x",2)+IF($M$105="x",1)+IF($M$110="x",1)+IF($M$111="x",2)+IF($M$112="x",4)+IF($M$108="x",1)-IF($M$109="x",1)-IF($M$99="x",1)+IF($M$90="x",1)-IF($C$97="x",4,10)
&amp;"/"&amp;SUM($C$3,$I$2)-$C$120+IF($C$75="x",2)+$I$16-$B$10+$M$94+IF($C$77="x",2)-IF($C$78="x",4)-IF($I$78="x",1)-IF($C$79="x",4)+IF($C$80="x",1)-IF($I$77="x",2)-IF($I$90="x",2)+IF($I$83="x",2)-IF($C$83="x",4)-$C$112+IF(H313="x",1)+I313+$M$77+IF(H315="x",1)+IF(J315="x",1)+IF($M$76="x",2)+J313+IF($M$85="x",1)+IF($M$113="x",1)+IF($M$120="x",2)+IF($M$119="x",2)+IF($M$105="x",1)+IF($M$110="x",1)+IF($M$111="x",2)+IF($M$112="x",4)+IF($M$108="x",1)-IF($M$109="x",1)-IF($M$99="x",1)+IF($M$90="x",1)-IF($C$97="x",4,10)-5,
IF(AND($C$90="x",$C$118="x"),SUM($C$3,$I$2)-$C$120+IF($C$75="x",2)+$I$16-$B$10+$M$94+IF($C$77="x",2)-IF($C$78="x",4)-IF($I$78="x",1)-IF($C$79="x",4)+IF($C$80="x",1)-IF($I$77="x",2)-IF($I$90="x",2)+IF($I$83="x",2)-IF($C$83="x",4)-$C$112+IF(H313="x",1)+I313+$M$77+IF(H315="x",1)+IF(J315="x",1)+IF($M$76="x",2)+J313+IF($M$85="x",1)+IF($M$113="x",1)+IF($M$120="x",2)+IF($M$119="x",2)+IF($M$105="x",1)+IF($M$110="x",1)+IF($M$111="x",2)+IF($M$112="x",4)+IF($M$108="x",1)-IF($M$109="x",1)+IF($M$99="x",20)-IF($M$99="x",1)+IF($M$90="x",1)-IF($C$97="x",4,10)
&amp;"/"&amp;SUM($C$3,$I$2)-$C$120+IF($C$75="x",2)+$I$16-$B$10+$M$94+IF($C$77="x",2)-IF($C$78="x",4)-IF($I$78="x",1)-IF($C$79="x",4)+IF($C$80="x",1)-IF($I$77="x",2)-IF($I$90="x",2)+IF($I$83="x",2)-IF($C$83="x",4)-$C$112-5+IF(H313="x",1)+I313+$M$77+IF(H315="x",1)+IF(J315="x",1)+IF($M$76="x",2)+J313+IF($M$85="x",1)+IF($M$113="x",1)+IF($M$120="x",2)+IF($M$119="x",2)+IF($M$105="x",1)+IF($M$110="x",1)+IF($M$111="x",2)+IF($M$112="x",4)+IF($M$108="x",1)-IF($M$109="x",1)-IF($M$99="x",1)+IF($M$90="x",1)-IF($C$97="x",4,10)
&amp;"/"&amp;SUM($C$3,$I$2)-$C$120+IF($C$75="x",2)+$I$16-$B$10+$M$94+IF($C$77="x",2)-IF($C$78="x",4)-IF($I$78="x",1)-IF($C$79="x",4)+IF($C$80="x",1)-IF($I$77="x",2)-IF($I$90="x",2)+IF($I$83="x",2)-IF($C$83="x",4)-$C$112-10+IF(H313="x",1)+I313+$M$77+IF(H315="x",1)+IF(J315="x",1)+IF($M$76="x",2)+J313+IF($M$85="x",1)+IF($M$113="x",1)+IF($M$120="x",2)+IF($M$119="x",2)+IF($M$105="x",1)+IF($M$110="x",1)+IF($M$111="x",2)+IF($M$112="x",4)+IF($M$108="x",1)-IF($M$109="x",1)-IF($M$99="x",1)+IF($M$90="x",1)-IF($C$97="x",4,10)))))</f>
        <v>-10</v>
      </c>
      <c r="C317" s="54" t="str">
        <f>_xlfn.IFS($C$7="Minimaalinen","1n2",$C$7="Taskukokoinen","1n3",$C$7="Hyvin pieni","1n4",$C$7="Pieni","1n6",$C$7="Keskikokoinen","1n8",$C$7="Iso","2n6",$C$7="Valtava","3n6",$C$7="Suunnaton","4n6",$C$7="Giganttinen","6n6")</f>
        <v>1n8</v>
      </c>
      <c r="D317" s="123">
        <f>INT($I$2/2)+($C$120)+I313+$M$77+IF(I315="x",2)+IF(K315="x",2)+IF($M$119="x",2)+IF($M$108="x",1)+$M$94+K313-IF($M$109="x",1)</f>
        <v>0</v>
      </c>
      <c r="E317" s="54" t="str">
        <f>_xlfn.IFS($C$7="Minimaalinen","2n2",$C$7="Taskukokoinen","2n3",$C$7="Hyvin pieni","2n4",$C$7="Pieni","2n6",$C$7="Keskikokoinen","2n8",$C$7="Iso","4n6",$C$7="Valtava","6n6",$C$7="Suunnaton","8n6",$C$7="Giganttinen","12n6")</f>
        <v>2n8</v>
      </c>
      <c r="F317" s="124">
        <f>SUM(D317*2)</f>
        <v>0</v>
      </c>
      <c r="G317" s="124" t="str">
        <f>(IF($I$89="x","50 %","")&amp;(IF($C$81="x","20 %",""))&amp;(IF($C$82="x","50 %","")))</f>
        <v/>
      </c>
      <c r="H317" s="40"/>
      <c r="K317" s="82"/>
      <c r="AB317" s="50"/>
      <c r="AC317" s="51"/>
      <c r="AD317" s="49"/>
      <c r="AE317" s="51"/>
      <c r="AF317" s="49"/>
      <c r="AG317" s="40"/>
      <c r="AH317" s="49"/>
      <c r="AI317" s="40"/>
      <c r="AJ317" s="40"/>
      <c r="AK317" s="40"/>
      <c r="AL317" s="40"/>
    </row>
    <row r="318" spans="1:38" x14ac:dyDescent="0.2">
      <c r="B318" s="15"/>
      <c r="C318" s="15"/>
      <c r="D318" s="15"/>
      <c r="F318" s="15"/>
      <c r="G318" s="15"/>
      <c r="H318" s="15"/>
      <c r="I318" s="15"/>
      <c r="AB318" s="50"/>
      <c r="AC318" s="49"/>
      <c r="AD318" s="49"/>
      <c r="AE318" s="51"/>
      <c r="AF318" s="49"/>
      <c r="AG318" s="40"/>
      <c r="AH318" s="49"/>
      <c r="AI318" s="48"/>
    </row>
    <row r="319" spans="1:38" x14ac:dyDescent="0.2">
      <c r="B319" s="15"/>
      <c r="C319" s="15"/>
      <c r="D319" s="15"/>
      <c r="F319" s="15"/>
      <c r="G319" s="15"/>
      <c r="H319" s="15"/>
      <c r="I319" s="15"/>
      <c r="AB319" s="52"/>
      <c r="AC319" s="53"/>
      <c r="AD319" s="54"/>
      <c r="AE319" s="53"/>
      <c r="AF319" s="54"/>
      <c r="AG319" s="54"/>
      <c r="AH319" s="54"/>
      <c r="AI319" s="40"/>
      <c r="AJ319" s="40"/>
      <c r="AL319" s="49"/>
    </row>
    <row r="320" spans="1:38" x14ac:dyDescent="0.2">
      <c r="A320" s="34" t="s">
        <v>315</v>
      </c>
      <c r="B320" s="130" t="s">
        <v>1</v>
      </c>
      <c r="C320" s="130" t="s">
        <v>2</v>
      </c>
      <c r="D320" s="130" t="s">
        <v>3</v>
      </c>
      <c r="E320" s="130" t="s">
        <v>229</v>
      </c>
      <c r="F320" s="130" t="s">
        <v>3</v>
      </c>
      <c r="G320" s="130" t="s">
        <v>45</v>
      </c>
      <c r="H320" s="14" t="s">
        <v>179</v>
      </c>
      <c r="I320" s="130" t="s">
        <v>242</v>
      </c>
      <c r="J320" s="130" t="s">
        <v>224</v>
      </c>
      <c r="K320" s="130" t="s">
        <v>225</v>
      </c>
    </row>
    <row r="321" spans="1:38" x14ac:dyDescent="0.2">
      <c r="A321" s="85" t="s">
        <v>219</v>
      </c>
      <c r="B321" s="98">
        <f>IF($I$85="x","PAINISSA",IF($C$3&lt;=5,SUM($C$3,$I$2)-$C$120+IF($C$75="x",2)+$I$16-$B$10+$M$94+IF($C$77="x",2)-IF($C$78="x",4)-IF($I$78="x",1)-IF($C$79="x",4)+IF($C$80="x",1)-IF($I$77="x",2)-IF($I$90="x",2)+IF($I$83="x",2)-IF($C$75="x",4)-$C$112+IF(H321="x",1)+I321+$M$77+IF(H323="x",1)+IF(J323="x",1)+IF($M$76="x",2)+J321+IF($M$85="x",1)+IF($M$113="x",1)+IF($M$120="x",2)+IF($M$119="x",2)+IF($M$105="x",1)+IF($M$110="x",1)+IF($M$111="x",2)+IF($M$112="x",4)+IF($M$108="x",1)-IF($M$109="x",1)-IF($M$99="x",1)+IF($M$90="x",1),
IF(AND($C$3&gt;5,$C$3&lt;11),SUM($C$3,$I$2)-$C$120+IF($C$75="x",2)+$I$16-$B$10+$M$94+IF($C$77="x",2)-IF($C$78="x",4)-IF($I$78="x",1)-IF($C$79="x",4)+IF($C$80="x",1)-IF($I$77="x",2)-IF($I$90="x",2)+IF($I$83="x",2)-IF($C$83="x",4)-$C$112+IF(H321="x",1)+I321+$M$77+IF(H323="x",1)+IF(J323="x",1)+IF($M$76="x",2)+J321+IF($M$85="x",1)+IF($M$113="x",1)+IF($M$120="x",2)+IF($M$119="x",2)+IF($M$105="x",1)+IF($M$110="x",1)+IF($M$111="x",2)+IF($M$112="x",4)+IF($M$108="x",1)-IF($M$109="x",1)-IF($M$99="x",1)+IF($M$90="x",1)
&amp;"/"&amp;SUM($C$3,$I$2)-$C$120+IF($C$75="x",2)+$I$16-$B$10+$M$94+IF($C$77="x",2)-IF($C$78="x",4)-IF($I$78="x",1)-IF($C$79="x",4)+IF($C$80="x",1)-IF($I$77="x",2)-IF($I$90="x",2)+IF($I$83="x",2)-IF($C$83="x",4)-$C$112-5+IF(H321="x",1)+I321+$M$77+IF(H323="x",1)+IF(J323="x",1)+IF($M$76="x",2)+J321+IF($M$85="x",1)+IF($M$113="x",1)+IF($M$120="x",2)+IF($M$119="x",2)+IF($M$105="x",1)+IF($M$110="x",1)+IF($M$111="x",2)+IF($M$112="x",4)+IF($M$108="x",1)-IF($M$109="x",1)-IF($M$99="x",1)+IF($M$90="x",1),
IF(AND($C$3&gt;10,$C$3&lt;16),SUM($C$3,$I$2)-$C$120+IF($C$75="x",2)+$I$16-$B$10+$M$94+IF($C$77="x",2)-IF($C$78="x",4)-IF($I$78="x",1)-IF($C$79="x",4)+IF($C$80="x",1)-IF($I$77="x",2)-IF($I$90="x",2)+IF($I$83="x",2)-IF($C$83="x",4)-$C$112+IF(H321="x",1)+I321+$M$77+IF(H323="x",1)+IF(J323="x",1)+IF($M$76="x",2)+J321+IF($M$85="x",1)+IF($M$113="x",1)+IF($M$120="x",2)+IF($M$119="x",2)+IF($M$105="x",1)+IF($M$110="x",1)+IF($M$111="x",2)+IF($M$112="x",4)+IF($M$108="x",1)-IF($M$109="x",1)+IF($M$99="x",20)-IF($M$99="x",1)+IF($M$90="x",1)
&amp;"/"&amp;SUM($C$3,$I$2)-$C$120+IF($C$75="x",2)+$I$16-$B$10+$M$94+IF($C$77="x",2)-IF($C$78="x",4)-IF($I$78="x",1)-IF($C$79="x",4)+IF($C$80="x",1)-IF($I$77="x",2)-IF($I$90="x",2)+IF($I$83="x",2)-IF($C$83="x",4)-$C$112-5+IF(H675="x",1)+IF(H321="x",1)+I321+$M$77+IF(H323="x",1)+IF(J323="x",1)+IF($M$76="x",2)+J321+IF($M$85="x",1)+IF($M$113="x",1)+IF($M$120="x",2)+IF($M$119="x",2)+IF($M$105="x",1)+IF($M$110="x",1)+IF($M$111="x",2)+IF($M$112="x",4)+IF($M$108="x",1)-IF($M$109="x",1)-IF($M$99="x",1)+IF($M$90="x",1)
&amp;"/"&amp;SUM($C$3,$I$2)-$C$120+IF($C$75="x",2)+$I$16-$B$10+$M$94+IF($C$77="x",2)-IF($C$78="x",4)-IF($I$78="x",1)-IF($C$79="x",4)+IF($C$80="x",1)-IF($I$77="x",2)-IF($I$90="x",2)+IF($I$83="x",2)-IF($C$83="x",4)-$C$112-10+IF(H675="x",1)+IF(H321="x",1)+I321+$M$77+IF(H323="x",1)+IF(J323="x",1)+IF($M$76="x",2)+J321+IF($M$85="x",1)+IF($M$113="x",1)+IF($M$120="x",2)+IF($M$119="x",2)+IF($M$105="x",1)+IF($M$110="x",1)+IF($M$111="x",2)+IF($M$112="x",4)+IF($M$108="x",1)-IF($M$109="x",1)-IF($M$99="x",1)+IF($M$90="x",1),
IF(AND($C$3&gt;15),SUM($C$3,$I$2)-$C$120+IF($C$75="x",2)+$I$16-$B$10+$M$94+IF($C$77="x",2)-IF($C$78="x",4)-IF($I$78="x",1)-IF($C$79="x",4)+IF($C$80="x",1)-IF($I$77="x",2)-IF($I$90="x",2)+IF($I$83="x",2)-IF($C$83="x",4)-$C$112+IF(H321="x",1)+I321+$M$77+IF(H323="x",1)+IF(J323="x",1)+IF($M$76="x",2)+J321+IF($M$85="x",1)+IF($M$113="x",1)+IF($M$120="x",2)+IF($M$119="x",2)+IF($M$105="x",1)+IF($M$110="x",1)+IF($M$111="x",2)+IF($M$112="x",4)+IF($M$108="x",1)-IF($M$109="x",1)-IF($M$99="x",1)+IF($M$90="x",1)
&amp;"/"&amp;SUM($C$3,$I$2)-$C$120+IF($C$75="x",2)+$I$16-$B$10+$M$94+IF($C$77="x",2)-IF($C$78="x",4)-IF($I$78="x",1)-IF($C$79="x",4)+IF($C$80="x",1)-IF($I$77="x",2)-IF($I$90="x",2)+IF($I$83="x",2)-IF($C$83="x",4)-$C$112-5+IF(H675="x",1)+IF(H321="x",1)+I321+$M$77+IF(H323="x",1)+IF(J323="x",1)+IF($M$76="x",2)+J321+IF($M$85="x",1)+IF($M$113="x",1)+IF($M$120="x",2)+IF($M$119="x",2)+IF($M$105="x",1)+IF($M$110="x",1)+IF($M$111="x",2)+IF($M$112="x",4)+IF($M$108="x",1)-IF($M$109="x",1)-IF($M$99="x",1)+IF($M$90="x",1)
&amp;"/"&amp;SUM($C$3,$I$2)-$C$120+IF($C$75="x",2)+$I$16-$B$10+$M$94+IF($C$77="x",2)-IF($C$78="x",4)-IF($I$78="x",1)-IF($C$79="x",4)+IF($C$80="x",1)-IF($I$77="x",2)-IF($I$90="x",2)+IF($I$83="x",2)-IF($C$83="x",4)-$C$112-10+IF(H675="x",1)+IF(H321="x",1)+I321+$M$77+IF(H323="x",1)+IF(J323="x",1)+IF($M$76="x",2)+J321+IF($M$85="x",1)+IF($M$113="x",1)+IF($M$120="x",2)+IF($M$119="x",2)+IF($M$105="x",1)+IF($M$110="x",1)+IF($M$111="x",2)+IF($M$112="x",4)+IF($M$108="x",1)-IF($M$109="x",1)-IF($M$99="x",1)+IF($M$90="x",1)
&amp;"/"&amp;SUM($C$3,$I$2)-$C$120+IF($C$75="x",2)+$I$16-$B$10+$M$94+IF($C$77="x",2)-IF($C$78="x",4)-IF($I$78="x",1)-IF($C$79="x",4)+IF($C$80="x",1)-IF($I$77="x",2)-IF($I$90="x",2)+IF($I$83="x",2)-IF($C$83="x",4)-$C$112-15+IF(H675="x",1)+IF(H321="x",1)+I321+$M$77+IF(H323="x",1)+IF(J323="x",1)+IF($M$76="x",2)+J321+IF($M$85="x",1)+IF($M$113="x",1)+IF($M$120="x",2)+IF($M$119="x",2)+IF($M$105="x",1)+IF($M$110="x",1)+IF($M$111="x",2)+IF($M$112="x",4)+IF($M$108="x",1)-IF($M$109="x",1)-IF($M$99="x",1)+IF($M$90="x",1))))))</f>
        <v>0</v>
      </c>
      <c r="C321" s="66" t="str">
        <f>_xlfn.IFS($C$7="Minimaalinen","1n3",$C$7="Taskukokoinen","1n4",$C$7="Hyvin pieni","1n6",$C$7="Pieni","1n8",$C$7="Keskikokoinen","1n10",$C$7="Iso","2n8",$C$7="Valtava","3n8",$C$7="Suunnaton","4n8",$C$7="Giganttinen","6n8")</f>
        <v>1n10</v>
      </c>
      <c r="D321" s="97">
        <f>SUM($I$2+$C$120)+I321+$M$77+IF(I323="x",2)+IF(K323="x",2)+IF($M$119="x",2)+IF($M$108="x",1)+$M$94-IF($M$109="x",1)+K321</f>
        <v>0</v>
      </c>
      <c r="E321" s="49" t="str">
        <f>_xlfn.IFS($C$7="Minimaalinen","2n3",$C$7="Taskukokoinen","2n4",$C$7="Hyvin pieni","2n6",$C$7="Pieni","2n8",$C$7="Keskikokoinen","2n10",$C$7="Iso","4n8",$C$7="Valtava","6n8",$C$7="Suunnaton","8n8",$C$7="Giganttinen","12n8")</f>
        <v>2n10</v>
      </c>
      <c r="F321" s="98">
        <f>SUM(D321*2)</f>
        <v>0</v>
      </c>
      <c r="G321" s="98" t="str">
        <f>(IF($I$89="x","50 %","")&amp;(IF($C$81="x","20 %",""))&amp;(IF($C$82="x","50 %","")))</f>
        <v/>
      </c>
      <c r="H321" s="28"/>
      <c r="I321" s="17">
        <v>0</v>
      </c>
      <c r="J321" s="17">
        <v>0</v>
      </c>
      <c r="K321" s="17">
        <v>0</v>
      </c>
    </row>
    <row r="322" spans="1:38" x14ac:dyDescent="0.2">
      <c r="A322" s="58" t="s">
        <v>8</v>
      </c>
      <c r="B322" s="119">
        <f>IF($I$85="x","PAINISSA",IF($C$3&lt;=5,SUM($C$3,$I$2)-$C$120+IF($C$75="x",2)+$I$16-$B$10+$M$94+IF($C$77="x",2)-IF($C$78="x",4)-IF($I$78="x",1)-IF($C$79="x",4)+IF($C$80="x",1)-IF($I$77="x",2)-IF($I$90="x",2)+IF($I$83="x",2)-IF($C$75="x",4)-$C$112+IF(H321="x",1)+I321+$M$77+IF(H323="x",1)+IF(J323="x",1)+IF($M$76="x",2)+J321+IF($M$85="x",1)+IF($M$113="x",1)+IF($M$120="x",2)+IF($M$119="x",2)+IF($M$105="x",1)+IF($M$110="x",1)+IF($M$111="x",2)+IF($M$112="x",4)+IF($M$108="x",1)-IF($M$109="x",1)-IF($M$99="x",1)+IF($M$90="x",1),
IF(AND($C$3&gt;5,$C$3&lt;11),SUM($C$3,$I$2)-$C$120+IF($C$75="x",2)+$I$16-$B$10+$M$94+IF($C$77="x",2)-IF($C$78="x",4)-IF($I$78="x",1)-IF($C$79="x",4)+IF($C$80="x",1)-IF($I$77="x",2)-IF($I$90="x",2)+IF($I$83="x",2)-IF($C$83="x",4)-$C$112+IF(H321="x",1)+I321+$M$77+IF(H323="x",1)+IF(J323="x",1)+IF($M$76="x",2)+J321+IF($M$85="x",1)+IF($M$113="x",1)+IF($M$120="x",2)+IF($M$119="x",2)+IF($M$105="x",1)+IF($M$110="x",1)+IF($M$111="x",2)+IF($M$112="x",4)+IF($M$108="x",1)-IF($M$109="x",1)-IF($M$99="x",1)+IF($M$90="x",1)
&amp;"/"&amp;SUM($C$3,$I$2)-$C$120+IF($C$75="x",2)+$I$16-$B$10+$M$94+IF($C$77="x",2)-IF($C$78="x",4)-IF($I$78="x",1)-IF($C$79="x",4)+IF($C$80="x",1)-IF($I$77="x",2)-IF($I$90="x",2)+IF($I$83="x",2)-IF($C$83="x",4)-$C$112-5+IF(H321="x",1)+I321+$M$77+IF(H323="x",1)+IF(J323="x",1)+IF($M$76="x",2)+J321+IF($M$85="x",1)+IF($M$113="x",1)+IF($M$120="x",2)+IF($M$119="x",2)+IF($M$105="x",1)+IF($M$110="x",1)+IF($M$111="x",2)+IF($M$112="x",4)+IF($M$108="x",1)-IF($M$109="x",1)-IF($M$99="x",1)+IF($M$90="x",1),
IF(AND($C$3&gt;10,$C$3&lt;16),SUM($C$3,$I$2)-$C$120+IF($C$75="x",2)+$I$16-$B$10+$M$94+IF($C$77="x",2)-IF($C$78="x",4)-IF($I$78="x",1)-IF($C$79="x",4)+IF($C$80="x",1)-IF($I$77="x",2)-IF($I$90="x",2)+IF($I$83="x",2)-IF($C$83="x",4)-$C$112+IF(H321="x",1)+I321+$M$77+IF(H323="x",1)+IF(J323="x",1)+IF($M$76="x",2)+J321+IF($M$85="x",1)+IF($M$113="x",1)+IF($M$120="x",2)+IF($M$119="x",2)+IF($M$105="x",1)+IF($M$110="x",1)+IF($M$111="x",2)+IF($M$112="x",4)+IF($M$108="x",1)-IF($M$109="x",1)+IF($M$99="x",20)-IF($M$99="x",1)+IF($M$90="x",1)
&amp;"/"&amp;SUM($C$3,$I$2)-$C$120+IF($C$75="x",2)+$I$16-$B$10+$M$94+IF($C$77="x",2)-IF($C$78="x",4)-IF($I$78="x",1)-IF($C$79="x",4)+IF($C$80="x",1)-IF($I$77="x",2)-IF($I$90="x",2)+IF($I$83="x",2)-IF($C$83="x",4)-$C$112-5+IF(H675="x",1)+IF(H321="x",1)+I321+$M$77+IF(H323="x",1)+IF(J323="x",1)+IF($M$76="x",2)+J321+IF($M$85="x",1)+IF($M$113="x",1)+IF($M$120="x",2)+IF($M$119="x",2)+IF($M$105="x",1)+IF($M$110="x",1)+IF($M$111="x",2)+IF($M$112="x",4)+IF($M$108="x",1)-IF($M$109="x",1)-IF($M$99="x",1)+IF($M$90="x",1)
&amp;"/"&amp;SUM($C$3,$I$2)-$C$120+IF($C$75="x",2)+$I$16-$B$10+$M$94+IF($C$77="x",2)-IF($C$78="x",4)-IF($I$78="x",1)-IF($C$79="x",4)+IF($C$80="x",1)-IF($I$77="x",2)-IF($I$90="x",2)+IF($I$83="x",2)-IF($C$83="x",4)-$C$112-10+IF(H675="x",1)+IF(H321="x",1)+I321+$M$77+IF(H323="x",1)+IF(J323="x",1)+IF($M$76="x",2)+J321+IF($M$85="x",1)+IF($M$113="x",1)+IF($M$120="x",2)+IF($M$119="x",2)+IF($M$105="x",1)+IF($M$110="x",1)+IF($M$111="x",2)+IF($M$112="x",4)+IF($M$108="x",1)-IF($M$109="x",1)-IF($M$99="x",1)+IF($M$90="x",1),
IF(AND($C$3&gt;15),SUM($C$3,$I$2)-$C$120+IF($C$75="x",2)+$I$16-$B$10+$M$94+IF($C$77="x",2)-IF($C$78="x",4)-IF($I$78="x",1)-IF($C$79="x",4)+IF($C$80="x",1)-IF($I$77="x",2)-IF($I$90="x",2)+IF($I$83="x",2)-IF($C$83="x",4)-$C$112+IF(H321="x",1)+I321+$M$77+IF(H323="x",1)+IF(J323="x",1)+IF($M$76="x",2)+J321+IF($M$85="x",1)+IF($M$113="x",1)+IF($M$120="x",2)+IF($M$119="x",2)+IF($M$105="x",1)+IF($M$110="x",1)+IF($M$111="x",2)+IF($M$112="x",4)+IF($M$108="x",1)-IF($M$109="x",1)-IF($M$99="x",1)+IF($M$90="x",1)
&amp;"/"&amp;SUM($C$3,$I$2)-$C$120+IF($C$75="x",2)+$I$16-$B$10+$M$94+IF($C$77="x",2)-IF($C$78="x",4)-IF($I$78="x",1)-IF($C$79="x",4)+IF($C$80="x",1)-IF($I$77="x",2)-IF($I$90="x",2)+IF($I$83="x",2)-IF($C$83="x",4)-$C$112-5+IF(H675="x",1)+IF(H321="x",1)+I321+$M$77+IF(H323="x",1)+IF(J323="x",1)+IF($M$76="x",2)+J321+IF($M$85="x",1)+IF($M$113="x",1)+IF($M$120="x",2)+IF($M$119="x",2)+IF($M$105="x",1)+IF($M$110="x",1)+IF($M$111="x",2)+IF($M$112="x",4)+IF($M$108="x",1)-IF($M$109="x",1)-IF($M$99="x",1)+IF($M$90="x",1)
&amp;"/"&amp;SUM($C$3,$I$2)-$C$120+IF($C$75="x",2)+$I$16-$B$10+$M$94+IF($C$77="x",2)-IF($C$78="x",4)-IF($I$78="x",1)-IF($C$79="x",4)+IF($C$80="x",1)-IF($I$77="x",2)-IF($I$90="x",2)+IF($I$83="x",2)-IF($C$83="x",4)-$C$112-10+IF(H675="x",1)+IF(H321="x",1)+I321+$M$77+IF(H323="x",1)+IF(J323="x",1)+IF($M$76="x",2)+J321+IF($M$85="x",1)+IF($M$113="x",1)+IF($M$120="x",2)+IF($M$119="x",2)+IF($M$105="x",1)+IF($M$110="x",1)+IF($M$111="x",2)+IF($M$112="x",4)+IF($M$108="x",1)-IF($M$109="x",1)-IF($M$99="x",1)+IF($M$90="x",1)
&amp;"/"&amp;SUM($C$3,$I$2)-$C$120+IF($C$75="x",2)+$I$16-$B$10+$M$94+IF($C$77="x",2)-IF($C$78="x",4)-IF($I$78="x",1)-IF($C$79="x",4)+IF($C$80="x",1)-IF($I$77="x",2)-IF($I$90="x",2)+IF($I$83="x",2)-IF($C$83="x",4)-$C$112-15+IF(H675="x",1)+IF(H321="x",1)+I321+$M$77+IF(H323="x",1)+IF(J323="x",1)+IF($M$76="x",2)+J321+IF($M$85="x",1)+IF($M$113="x",1)+IF($M$120="x",2)+IF($M$119="x",2)+IF($M$105="x",1)+IF($M$110="x",1)+IF($M$111="x",2)+IF($M$112="x",4)+IF($M$108="x",1)-IF($M$109="x",1)-IF($M$99="x",1)+IF($M$90="x",1))))))</f>
        <v>0</v>
      </c>
      <c r="C322" s="114" t="str">
        <f>_xlfn.IFS($C$7="Minimaalinen","1n3",$C$7="Taskukokoinen","1n4",$C$7="Hyvin pieni","1n6",$C$7="Pieni","1n8",$C$7="Keskikokoinen","1n10",$C$7="Iso","2n8",$C$7="Valtava","3n8",$C$7="Suunnaton","4n8",$C$7="Giganttinen","6n8")</f>
        <v>1n10</v>
      </c>
      <c r="D322" s="119">
        <f>IF($I$2&lt;0,$I$2,INT($I$2*1.5))+($C$120*2)+I321+$M$77+IF(I323="x",2)+IF(K323="x",2)+IF($M$119="x",2)+IF($M$108="x",1)+$M$94-IF($M$109="x",1)+K321</f>
        <v>0</v>
      </c>
      <c r="E322" s="114" t="str">
        <f>_xlfn.IFS($C$7="Minimaalinen","2n3",$C$7="Taskukokoinen","2n4",$C$7="Hyvin pieni","2n6",$C$7="Pieni","2n8",$C$7="Keskikokoinen","2n10",$C$7="Iso","4n8",$C$7="Valtava","6n8",$C$7="Suunnaton","8n8",$C$7="Giganttinen","12n8")</f>
        <v>2n10</v>
      </c>
      <c r="F322" s="120">
        <f>SUM(D322*2)</f>
        <v>0</v>
      </c>
      <c r="G322" s="120" t="str">
        <f>(IF($I$89="x","50 %","")&amp;(IF($C$81="x","20 %",""))&amp;(IF($C$82="x","50 %","")))</f>
        <v/>
      </c>
      <c r="H322" s="14" t="s">
        <v>220</v>
      </c>
      <c r="I322" s="14" t="s">
        <v>221</v>
      </c>
      <c r="J322" s="14" t="s">
        <v>222</v>
      </c>
      <c r="K322" s="14" t="s">
        <v>223</v>
      </c>
      <c r="AB322" s="46"/>
      <c r="AC322" s="48"/>
      <c r="AD322" s="48"/>
      <c r="AE322" s="48"/>
      <c r="AF322" s="48"/>
      <c r="AG322" s="48"/>
      <c r="AH322" s="48"/>
      <c r="AI322" s="48"/>
      <c r="AJ322" s="48"/>
      <c r="AK322" s="48"/>
      <c r="AL322" s="48"/>
    </row>
    <row r="323" spans="1:38" x14ac:dyDescent="0.2">
      <c r="A323" s="25" t="s">
        <v>438</v>
      </c>
      <c r="B323" s="121">
        <f>IF($I$85="x","PAINISSA",IF($C$3&lt;=5,SUM($C$3,$I$2)-$C$120+IF($C$75="x",2)+$I$16-$B$10+$M$94+IF($C$77="x",2)-IF($C$78="x",4)-IF($I$78="x",1)-IF($C$79="x",4)+IF($C$80="x",1)-IF($I$77="x",2)-IF($I$90="x",2)+IF($I$83="x",2)-IF($C$75="x",4)-$C$112+IF(H321="x",1)+I321+$M$77+IF(H323="x",1)+IF(J323="x",1)+IF($M$76="x",2)+J321+IF($M$85="x",1)+IF($M$113="x",1)+IF($M$120="x",2)+IF($M$119="x",2)+IF($M$105="x",1)+IF($M$110="x",1)+IF($M$111="x",2)+IF($M$112="x",4)+IF($M$108="x",1)-IF($M$109="x",1)-IF($M$99="x",1)+IF($M$90="x",1)-IF($C$97="x",2,4),
IF(AND($C$3&gt;5,$C$3&lt;11),SUM($C$3,$I$2)-$C$120+IF($C$75="x",2)+$I$16-$B$10+$M$94+IF($C$77="x",2)-IF($C$78="x",4)-IF($I$78="x",1)-IF($C$79="x",4)+IF($C$80="x",1)-IF($I$77="x",2)-IF($I$90="x",2)+IF($I$83="x",2)-IF($C$83="x",4)-$C$112+IF(H321="x",1)+I321+$M$77+IF(H323="x",1)+IF(J323="x",1)+IF($M$76="x",2)+J321+IF($M$85="x",1)+IF($M$113="x",1)+IF($M$120="x",2)+IF($M$119="x",2)+IF($M$105="x",1)+IF($M$110="x",1)+IF($M$111="x",2)+IF($M$112="x",4)+IF($M$108="x",1)-IF($M$109="x",1)-IF($M$99="x",1)+IF($M$90="x",1)-IF($C$97="x",2,4)
&amp;"/"&amp;SUM($C$3,$I$2)-$C$120+IF($C$75="x",2)+$I$16-$B$10+$M$94+IF($C$77="x",2)-IF($C$78="x",4)-IF($I$78="x",1)-IF($C$79="x",4)+IF($C$80="x",1)-IF($I$77="x",2)-IF($I$90="x",2)+IF($I$83="x",2)-IF($C$83="x",4)-$C$112-5+IF(H321="x",1)+I321+$M$77+IF(H323="x",1)+IF(J323="x",1)+IF($M$76="x",2)+J321+IF($M$85="x",1)+IF($M$113="x",1)+IF($M$120="x",2)+IF($M$119="x",2)+IF($M$105="x",1)+IF($M$110="x",1)+IF($M$111="x",2)+IF($M$112="x",4)+IF($M$108="x",1)-IF($M$109="x",1)-IF($M$99="x",1)+IF($M$90="x",1)-IF($C$97="x",2,4),
IF(AND($C$3&gt;10,$C$3&lt;16),SUM($C$3,$I$2)-$C$120+IF($C$75="x",2)+$I$16-$B$10+$M$94+IF($C$77="x",2)-IF($C$78="x",4)-IF($I$78="x",1)-IF($C$79="x",4)+IF($C$80="x",1)-IF($I$77="x",2)-IF($I$90="x",2)+IF($I$83="x",2)-IF($C$83="x",4)-$C$112+IF(H321="x",1)+I321+$M$77+IF(H323="x",1)+IF(J323="x",1)+IF($M$76="x",2)+J321+IF($M$85="x",1)+IF($M$113="x",1)+IF($M$120="x",2)+IF($M$119="x",2)+IF($M$105="x",1)+IF($M$110="x",1)+IF($M$111="x",2)+IF($M$112="x",4)+IF($M$108="x",1)-IF($M$109="x",1)+IF($M$99="x",20)-IF($M$99="x",1)+IF($M$90="x",1)-IF($C$97="x",2,4)
&amp;"/"&amp;SUM($C$3,$I$2)-$C$120+IF($C$75="x",2)+$I$16-$B$10+$M$94+IF($C$77="x",2)-IF($C$78="x",4)-IF($I$78="x",1)-IF($C$79="x",4)+IF($C$80="x",1)-IF($I$77="x",2)-IF($I$90="x",2)+IF($I$83="x",2)-IF($C$83="x",4)-$C$112-5+IF(H675="x",1)+IF(H321="x",1)+I321+$M$77+IF(H323="x",1)+IF(J323="x",1)+IF($M$76="x",2)+J321+IF($M$85="x",1)+IF($M$113="x",1)+IF($M$120="x",2)+IF($M$119="x",2)+IF($M$105="x",1)+IF($M$110="x",1)+IF($M$111="x",2)+IF($M$112="x",4)+IF($M$108="x",1)-IF($M$109="x",1)-IF($M$99="x",1)+IF($M$90="x",1)-IF($C$97="x",2,4)
&amp;"/"&amp;SUM($C$3,$I$2)-$C$120+IF($C$75="x",2)+$I$16-$B$10+$M$94+IF($C$77="x",2)-IF($C$78="x",4)-IF($I$78="x",1)-IF($C$79="x",4)+IF($C$80="x",1)-IF($I$77="x",2)-IF($I$90="x",2)+IF($I$83="x",2)-IF($C$83="x",4)-$C$112-10+IF(H675="x",1)+IF(H321="x",1)+I321+$M$77+IF(H323="x",1)+IF(J323="x",1)+IF($M$76="x",2)+J321+IF($M$85="x",1)+IF($M$113="x",1)+IF($M$120="x",2)+IF($M$119="x",2)+IF($M$105="x",1)+IF($M$110="x",1)+IF($M$111="x",2)+IF($M$112="x",4)+IF($M$108="x",1)-IF($M$109="x",1)-IF($M$99="x",1)+IF($M$90="x",1)-IF($C$97="x",2,4),
IF(AND($C$3&gt;15),SUM($C$3,$I$2)-$C$120+IF($C$75="x",2)+$I$16-$B$10+$M$94+IF($C$77="x",2)-IF($C$78="x",4)-IF($I$78="x",1)-IF($C$79="x",4)+IF($C$80="x",1)-IF($I$77="x",2)-IF($I$90="x",2)+IF($I$83="x",2)-IF($C$83="x",4)-$C$112+IF(H321="x",1)+I321+$M$77+IF(H323="x",1)+IF(J323="x",1)+IF($M$76="x",2)+J321+IF($M$85="x",1)+IF($M$113="x",1)+IF($M$120="x",2)+IF($M$119="x",2)+IF($M$105="x",1)+IF($M$110="x",1)+IF($M$111="x",2)+IF($M$112="x",4)+IF($M$108="x",1)-IF($M$109="x",1)-IF($M$99="x",1)+IF($M$90="x",1)-IF($C$97="x",2,4)
&amp;"/"&amp;SUM($C$3,$I$2)-$C$120+IF($C$75="x",2)+$I$16-$B$10+$M$94+IF($C$77="x",2)-IF($C$78="x",4)-IF($I$78="x",1)-IF($C$79="x",4)+IF($C$80="x",1)-IF($I$77="x",2)-IF($I$90="x",2)+IF($I$83="x",2)-IF($C$83="x",4)-$C$112-5+IF(H675="x",1)+IF(H321="x",1)+I321+$M$77+IF(H323="x",1)+IF(J323="x",1)+IF($M$76="x",2)+J321+IF($M$85="x",1)+IF($M$113="x",1)+IF($M$120="x",2)+IF($M$119="x",2)+IF($M$105="x",1)+IF($M$110="x",1)+IF($M$111="x",2)+IF($M$112="x",4)+IF($M$108="x",1)-IF($M$109="x",1)-IF($M$99="x",1)+IF($M$90="x",1)-IF($C$97="x",2,4)
&amp;"/"&amp;SUM($C$3,$I$2)-$C$120+IF($C$75="x",2)+$I$16-$B$10+$M$94+IF($C$77="x",2)-IF($C$78="x",4)-IF($I$78="x",1)-IF($C$79="x",4)+IF($C$80="x",1)-IF($I$77="x",2)-IF($I$90="x",2)+IF($I$83="x",2)-IF($C$83="x",4)-$C$112-10+IF(H675="x",1)+IF(H321="x",1)+I321+$M$77+IF(H323="x",1)+IF(J323="x",1)+IF($M$76="x",2)+J321+IF($M$85="x",1)+IF($M$113="x",1)+IF($M$120="x",2)+IF($M$119="x",2)+IF($M$105="x",1)+IF($M$110="x",1)+IF($M$111="x",2)+IF($M$112="x",4)+IF($M$108="x",1)-IF($M$109="x",1)-IF($M$99="x",1)+IF($M$90="x",1)-IF($C$97="x",2,4)
&amp;"/"&amp;SUM($C$3,$I$2)-$C$120+IF($C$75="x",2)+$I$16-$B$10+$M$94+IF($C$77="x",2)-IF($C$78="x",4)-IF($I$78="x",1)-IF($C$79="x",4)+IF($C$80="x",1)-IF($I$77="x",2)-IF($I$90="x",2)+IF($I$83="x",2)-IF($C$83="x",4)-$C$112-15+IF(H675="x",1)+IF(H321="x",1)+I321+$M$77+IF(H323="x",1)+IF(J323="x",1)+IF($M$76="x",2)+J321+IF($M$85="x",1)+IF($M$113="x",1)+IF($M$120="x",2)+IF($M$119="x",2)+IF($M$105="x",1)+IF($M$110="x",1)+IF($M$111="x",2)+IF($M$112="x",4)+IF($M$108="x",1)-IF($M$109="x",1)-IF($M$99="x",1)+IF($M$90="x",1)-IF($C$97="x",2,4))))))</f>
        <v>-4</v>
      </c>
      <c r="C323" s="49" t="str">
        <f>_xlfn.IFS($C$7="Minimaalinen","1n3",$C$7="Taskukokoinen","1n4",$C$7="Hyvin pieni","1n6",$C$7="Pieni","1n8",$C$7="Keskikokoinen","1n10",$C$7="Iso","2n8",$C$7="Valtava","3n8",$C$7="Suunnaton","4n8",$C$7="Giganttinen","6n8")</f>
        <v>1n10</v>
      </c>
      <c r="D323" s="121">
        <f>SUM($I$2+$C$120)+I321+$M$77+IF(I323="x",2)+IF(K323="x",2)+IF($M$119="x",2)+IF($M$108="x",1)+$M$94-IF($M$109="x",1)+K321</f>
        <v>0</v>
      </c>
      <c r="E323" s="49" t="str">
        <f>_xlfn.IFS($C$7="Minimaalinen","2n3",$C$7="Taskukokoinen","2n4",$C$7="Hyvin pieni","2n6",$C$7="Pieni","2n8",$C$7="Keskikokoinen","2n10",$C$7="Iso","4n8",$C$7="Valtava","6n8",$C$7="Suunnaton","8n8",$C$7="Giganttinen","12n8")</f>
        <v>2n10</v>
      </c>
      <c r="F323" s="82">
        <f>SUM(D323*2)</f>
        <v>0</v>
      </c>
      <c r="G323" s="82" t="str">
        <f>(IF($I$89="x","50 %","")&amp;(IF($C$81="x","20 %",""))&amp;(IF($C$82="x","50 %","")))</f>
        <v/>
      </c>
      <c r="H323" s="28"/>
      <c r="I323" s="28"/>
      <c r="J323" s="28"/>
      <c r="K323" s="28"/>
      <c r="AB323" s="128"/>
      <c r="AC323" s="66"/>
      <c r="AD323" s="66"/>
      <c r="AE323" s="129"/>
      <c r="AF323" s="66"/>
      <c r="AG323" s="66"/>
      <c r="AH323" s="66"/>
      <c r="AI323" s="40"/>
      <c r="AJ323" s="40"/>
      <c r="AK323" s="40"/>
      <c r="AL323" s="40"/>
    </row>
    <row r="324" spans="1:38" x14ac:dyDescent="0.2">
      <c r="A324" s="25" t="s">
        <v>437</v>
      </c>
      <c r="B324" s="82">
        <f>IF($I$85="x","PAINISSA",IF($C$3&lt;=5,SUM($C$3,$I$2)-$C$120+IF($C$75="x",2)+$I$16-$B$10+$M$94+IF($C$77="x",2)-IF($C$78="x",4)-IF($I$78="x",1)-IF($C$79="x",4)+IF($C$80="x",1)-IF($I$77="x",2)-IF($I$90="x",2)+IF($I$83="x",2)-IF($C$75="x",4)-$C$112+IF(H321="x",1)+I321+$M$77+IF(H323="x",1)+IF(J323="x",1)+IF($M$76="x",2)+J321+IF($M$85="x",1)+IF($M$113="x",1)+IF($M$120="x",2)+IF($M$119="x",2)+IF($M$105="x",1)+IF($M$110="x",1)+IF($M$111="x",2)+IF($M$112="x",4)+IF($M$108="x",1)-IF($M$109="x",1)-IF($M$99="x",1)+IF($M$90="x",1)-IF($C$97="x",4,6),
IF(AND($C$3&gt;5,$C$3&lt;11),SUM($C$3,$I$2)-$C$120+IF($C$75="x",2)+$I$16-$B$10+$M$94+IF($C$77="x",2)-IF($C$78="x",4)-IF($I$78="x",1)-IF($C$79="x",4)+IF($C$80="x",1)-IF($I$77="x",2)-IF($I$90="x",2)+IF($I$83="x",2)-IF($C$83="x",4)-$C$112+IF(H321="x",1)+I321+$M$77+IF(H323="x",1)+IF(J323="x",1)+IF($M$76="x",2)+J321+IF($M$85="x",1)+IF($M$113="x",1)+IF($M$120="x",2)+IF($M$119="x",2)+IF($M$105="x",1)+IF($M$110="x",1)+IF($M$111="x",2)+IF($M$112="x",4)+IF($M$108="x",1)-IF($M$109="x",1)-IF($M$99="x",1)+IF($M$90="x",1)-IF($C$97="x",4,6)
&amp;"/"&amp;SUM($C$3,$I$2)-$C$120+IF($C$75="x",2)+$I$16-$B$10+$M$94+IF($C$77="x",2)-IF($C$78="x",4)-IF($I$78="x",1)-IF($C$79="x",4)+IF($C$80="x",1)-IF($I$77="x",2)-IF($I$90="x",2)+IF($I$83="x",2)-IF($C$83="x",4)-$C$112-5+IF(H321="x",1)+I321+$M$77+IF(H323="x",1)+IF(J323="x",1)+IF($M$76="x",2)+J321+IF($M$85="x",1)+IF($M$113="x",1)+IF($M$120="x",2)+IF($M$119="x",2)+IF($M$105="x",1)+IF($M$110="x",1)+IF($M$111="x",2)+IF($M$112="x",4)+IF($M$108="x",1)-IF($M$109="x",1)-IF($M$99="x",1)+IF($M$90="x",1)-IF($C$97="x",4,6),
IF(AND($C$3&gt;10,$C$3&lt;16),SUM($C$3,$I$2)-$C$120+IF($C$75="x",2)+$I$16-$B$10+$M$94+IF($C$77="x",2)-IF($C$78="x",4)-IF($I$78="x",1)-IF($C$79="x",4)+IF($C$80="x",1)-IF($I$77="x",2)-IF($I$90="x",2)+IF($I$83="x",2)-IF($C$83="x",4)-$C$112+IF(H321="x",1)+I321+$M$77+IF(H323="x",1)+IF(J323="x",1)+IF($M$76="x",2)+J321+IF($M$85="x",1)+IF($M$113="x",1)+IF($M$120="x",2)+IF($M$119="x",2)+IF($M$105="x",1)+IF($M$110="x",1)+IF($M$111="x",2)+IF($M$112="x",4)+IF($M$108="x",1)-IF($M$109="x",1)+IF($M$99="x",20)-IF($M$99="x",1)+IF($M$90="x",1)-IF($C$97="x",4,6)
&amp;"/"&amp;SUM($C$3,$I$2)-$C$120+IF($C$75="x",2)+$I$16-$B$10+$M$94+IF($C$77="x",2)-IF($C$78="x",4)-IF($I$78="x",1)-IF($C$79="x",4)+IF($C$80="x",1)-IF($I$77="x",2)-IF($I$90="x",2)+IF($I$83="x",2)-IF($C$83="x",4)-$C$112-5+IF(H675="x",1)+IF(H321="x",1)+I321+$M$77+IF(H323="x",1)+IF(J323="x",1)+IF($M$76="x",2)+J321+IF($M$85="x",1)+IF($M$113="x",1)+IF($M$120="x",2)+IF($M$119="x",2)+IF($M$105="x",1)+IF($M$110="x",1)+IF($M$111="x",2)+IF($M$112="x",4)+IF($M$108="x",1)-IF($M$109="x",1)-IF($M$99="x",1)+IF($M$90="x",1)-IF($C$97="x",4,6)
&amp;"/"&amp;SUM($C$3,$I$2)-$C$120+IF($C$75="x",2)+$I$16-$B$10+$M$94+IF($C$77="x",2)-IF($C$78="x",4)-IF($I$78="x",1)-IF($C$79="x",4)+IF($C$80="x",1)-IF($I$77="x",2)-IF($I$90="x",2)+IF($I$83="x",2)-IF($C$83="x",4)-$C$112-10+IF(H675="x",1)+IF(H321="x",1)+I321+$M$77+IF(H323="x",1)+IF(J323="x",1)+IF($M$76="x",2)+J321+IF($M$85="x",1)+IF($M$113="x",1)+IF($M$120="x",2)+IF($M$119="x",2)+IF($M$105="x",1)+IF($M$110="x",1)+IF($M$111="x",2)+IF($M$112="x",4)+IF($M$108="x",1)-IF($M$109="x",1)-IF($M$99="x",1)+IF($M$90="x",1)-IF($C$97="x",4,6),
IF(AND($C$3&gt;15),SUM($C$3,$I$2)-$C$120+IF($C$75="x",2)+$I$16-$B$10+$M$94+IF($C$77="x",2)-IF($C$78="x",4)-IF($I$78="x",1)-IF($C$79="x",4)+IF($C$80="x",1)-IF($I$77="x",2)-IF($I$90="x",2)+IF($I$83="x",2)-IF($C$83="x",4)-$C$112+IF(H321="x",1)+I321+$M$77+IF(H323="x",1)+IF(J323="x",1)+IF($M$76="x",2)+J321+IF($M$85="x",1)+IF($M$113="x",1)+IF($M$120="x",2)+IF($M$119="x",2)+IF($M$105="x",1)+IF($M$110="x",1)+IF($M$111="x",2)+IF($M$112="x",4)+IF($M$108="x",1)-IF($M$109="x",1)-IF($M$99="x",1)+IF($M$90="x",1)-IF($C$97="x",4,6)
&amp;"/"&amp;SUM($C$3,$I$2)-$C$120+IF($C$75="x",2)+$I$16-$B$10+$M$94+IF($C$77="x",2)-IF($C$78="x",4)-IF($I$78="x",1)-IF($C$79="x",4)+IF($C$80="x",1)-IF($I$77="x",2)-IF($I$90="x",2)+IF($I$83="x",2)-IF($C$83="x",4)-$C$112-5+IF(H675="x",1)+IF(H321="x",1)+I321+$M$77+IF(H323="x",1)+IF(J323="x",1)+IF($M$76="x",2)+J321+IF($M$85="x",1)+IF($M$113="x",1)+IF($M$120="x",2)+IF($M$119="x",2)+IF($M$105="x",1)+IF($M$110="x",1)+IF($M$111="x",2)+IF($M$112="x",4)+IF($M$108="x",1)-IF($M$109="x",1)-IF($M$99="x",1)+IF($M$90="x",1)-IF($C$97="x",4,6)
&amp;"/"&amp;SUM($C$3,$I$2)-$C$120+IF($C$75="x",2)+$I$16-$B$10+$M$94+IF($C$77="x",2)-IF($C$78="x",4)-IF($I$78="x",1)-IF($C$79="x",4)+IF($C$80="x",1)-IF($I$77="x",2)-IF($I$90="x",2)+IF($I$83="x",2)-IF($C$83="x",4)-$C$112-10+IF(H675="x",1)+IF(H321="x",1)+I321+$M$77+IF(H323="x",1)+IF(J323="x",1)+IF($M$76="x",2)+J321+IF($M$85="x",1)+IF($M$113="x",1)+IF($M$120="x",2)+IF($M$119="x",2)+IF($M$105="x",1)+IF($M$110="x",1)+IF($M$111="x",2)+IF($M$112="x",4)+IF($M$108="x",1)-IF($M$109="x",1)-IF($M$99="x",1)+IF($M$90="x",1)-IF($C$97="x",4,6)
&amp;"/"&amp;SUM($C$3,$I$2)-$C$120+IF($C$75="x",2)+$I$16-$B$10+$M$94+IF($C$77="x",2)-IF($C$78="x",4)-IF($I$78="x",1)-IF($C$79="x",4)+IF($C$80="x",1)-IF($I$77="x",2)-IF($I$90="x",2)+IF($I$83="x",2)-IF($C$83="x",4)-$C$112-15+IF(H675="x",1)+IF(H321="x",1)+I321+$M$77+IF(H323="x",1)+IF(J323="x",1)+IF($M$76="x",2)+J321+IF($M$85="x",1)+IF($M$113="x",1)+IF($M$120="x",2)+IF($M$119="x",2)+IF($M$105="x",1)+IF($M$110="x",1)+IF($M$111="x",2)+IF($M$112="x",4)+IF($M$108="x",1)-IF($M$109="x",1)-IF($M$99="x",1)+IF($M$90="x",1)-IF($C$97="x",4,6))))))</f>
        <v>-6</v>
      </c>
      <c r="C324" s="49" t="str">
        <f>_xlfn.IFS($C$7="Minimaalinen","1n3",$C$7="Taskukokoinen","1n4",$C$7="Hyvin pieni","1n6",$C$7="Pieni","1n8",$C$7="Keskikokoinen","1n10",$C$7="Iso","2n8",$C$7="Valtava","3n8",$C$7="Suunnaton","4n8",$C$7="Giganttinen","6n8")</f>
        <v>1n10</v>
      </c>
      <c r="D324" s="121">
        <f>SUM($I$2+$C$120)+I321+$M$77+IF(I323="x",2)+IF(K323="x",2)+IF($M$119="x",2)+IF($M$108="x",1)+$M$94-IF($M$109="x",1)+K321</f>
        <v>0</v>
      </c>
      <c r="E324" s="49" t="str">
        <f>_xlfn.IFS($C$7="Minimaalinen","2n3",$C$7="Taskukokoinen","2n4",$C$7="Hyvin pieni","2n6",$C$7="Pieni","2n8",$C$7="Keskikokoinen","2n10",$C$7="Iso","4n8",$C$7="Valtava","6n8",$C$7="Suunnaton","8n8",$C$7="Giganttinen","12n8")</f>
        <v>2n10</v>
      </c>
      <c r="F324" s="82">
        <f>SUM(D324*2)</f>
        <v>0</v>
      </c>
      <c r="G324" s="82" t="str">
        <f>(IF($I$89="x","50 %","")&amp;(IF($C$81="x","20 %",""))&amp;(IF($C$82="x","50 %","")))</f>
        <v/>
      </c>
      <c r="H324" s="11"/>
      <c r="I324" s="131"/>
      <c r="J324" s="131"/>
      <c r="K324" s="131"/>
      <c r="AB324" s="47"/>
      <c r="AC324" s="113"/>
      <c r="AD324" s="114"/>
      <c r="AE324" s="113"/>
      <c r="AF324" s="114"/>
      <c r="AG324" s="114"/>
      <c r="AH324" s="114"/>
      <c r="AI324" s="48"/>
      <c r="AJ324" s="48"/>
      <c r="AK324" s="48"/>
      <c r="AL324" s="48"/>
    </row>
    <row r="325" spans="1:38" x14ac:dyDescent="0.2">
      <c r="A325" s="122" t="s">
        <v>436</v>
      </c>
      <c r="B325" s="123">
        <f>IF($I$85="x","PAINISSA",IF(AND($C$90="",$C$118=""),SUM($C$3,$I$2)-$C$120+IF($C$75="x",2)+$I$16-$B$10+$M$94+IF($C$77="x",2)-IF($C$78="x",4)-IF($I$78="x",1)-IF($C$79="x",4)+IF($C$80="x",1)-IF($I$77="x",2)-IF($I$90="x",2)+IF($I$83="x",2)-IF($C$75="x",4)-$C$112+IF(H321="x",1)+I321+$M$77+IF(H323="x",1)+IF(J323="x",1)+IF($M$76="x",2)+J321+IF($M$85="x",1)+IF($M$113="x",1)+IF($M$120="x",2)+IF($M$119="x",2)+IF($M$105="x",1)+IF($M$110="x",1)+IF($M$111="x",2)+IF($M$112="x",4)+IF($M$108="x",1)-IF($M$109="x",1)-IF($M$99="x",1)+IF($M$90="x",1)-IF($C$97="x",4,10),
IF(AND($C$90="x",$C$118=""),SUM($C$3,$I$2)-$C$120+IF($C$75="x",2)+$I$16-$B$10+$M$94+IF($C$77="x",2)-IF($C$78="x",4)-IF($I$78="x",1)-IF($C$79="x",4)+IF($C$80="x",1)-IF($I$77="x",2)-IF($I$90="x",2)+IF($I$83="x",2)-IF($C$83="x",4)-$C$112+IF(H321="x",1)+I321+$M$77+IF(H323="x",1)+IF(J323="x",1)+IF($M$76="x",2)+J321+IF($M$85="x",1)+IF($M$113="x",1)+IF($M$120="x",2)+IF($M$119="x",2)+IF($M$105="x",1)+IF($M$110="x",1)+IF($M$111="x",2)+IF($M$112="x",4)+IF($M$108="x",1)-IF($M$109="x",1)-IF($M$99="x",1)+IF($M$90="x",1)-IF($C$97="x",4,10)
&amp;"/"&amp;SUM($C$3,$I$2)-$C$120+IF($C$75="x",2)+$I$16-$B$10+$M$94+IF($C$77="x",2)-IF($C$78="x",4)-IF($I$78="x",1)-IF($C$79="x",4)+IF($C$80="x",1)-IF($I$77="x",2)-IF($I$90="x",2)+IF($I$83="x",2)-IF($C$83="x",4)-$C$112+IF(H321="x",1)+I321+$M$77+IF(H323="x",1)+IF(J323="x",1)+IF($M$76="x",2)+J321+IF($M$85="x",1)+IF($M$113="x",1)+IF($M$120="x",2)+IF($M$119="x",2)+IF($M$105="x",1)+IF($M$110="x",1)+IF($M$111="x",2)+IF($M$112="x",4)+IF($M$108="x",1)-IF($M$109="x",1)-IF($M$99="x",1)+IF($M$90="x",1)-IF($C$97="x",4,10)-5,
IF(AND($C$90="x",$C$118="x"),SUM($C$3,$I$2)-$C$120+IF($C$75="x",2)+$I$16-$B$10+$M$94+IF($C$77="x",2)-IF($C$78="x",4)-IF($I$78="x",1)-IF($C$79="x",4)+IF($C$80="x",1)-IF($I$77="x",2)-IF($I$90="x",2)+IF($I$83="x",2)-IF($C$83="x",4)-$C$112+IF(H321="x",1)+I321+$M$77+IF(H323="x",1)+IF(J323="x",1)+IF($M$76="x",2)+J321+IF($M$85="x",1)+IF($M$113="x",1)+IF($M$120="x",2)+IF($M$119="x",2)+IF($M$105="x",1)+IF($M$110="x",1)+IF($M$111="x",2)+IF($M$112="x",4)+IF($M$108="x",1)-IF($M$109="x",1)+IF($M$99="x",20)-IF($M$99="x",1)+IF($M$90="x",1)-IF($C$97="x",4,10)
&amp;"/"&amp;SUM($C$3,$I$2)-$C$120+IF($C$75="x",2)+$I$16-$B$10+$M$94+IF($C$77="x",2)-IF($C$78="x",4)-IF($I$78="x",1)-IF($C$79="x",4)+IF($C$80="x",1)-IF($I$77="x",2)-IF($I$90="x",2)+IF($I$83="x",2)-IF($C$83="x",4)-$C$112-5+IF(H321="x",1)+I321+$M$77+IF(H323="x",1)+IF(J323="x",1)+IF($M$76="x",2)+J321+IF($M$85="x",1)+IF($M$113="x",1)+IF($M$120="x",2)+IF($M$119="x",2)+IF($M$105="x",1)+IF($M$110="x",1)+IF($M$111="x",2)+IF($M$112="x",4)+IF($M$108="x",1)-IF($M$109="x",1)-IF($M$99="x",1)+IF($M$90="x",1)-IF($C$97="x",4,10)
&amp;"/"&amp;SUM($C$3,$I$2)-$C$120+IF($C$75="x",2)+$I$16-$B$10+$M$94+IF($C$77="x",2)-IF($C$78="x",4)-IF($I$78="x",1)-IF($C$79="x",4)+IF($C$80="x",1)-IF($I$77="x",2)-IF($I$90="x",2)+IF($I$83="x",2)-IF($C$83="x",4)-$C$112-10+IF(H321="x",1)+I321+$M$77+IF(H323="x",1)+IF(J323="x",1)+IF($M$76="x",2)+J321+IF($M$85="x",1)+IF($M$113="x",1)+IF($M$120="x",2)+IF($M$119="x",2)+IF($M$105="x",1)+IF($M$110="x",1)+IF($M$111="x",2)+IF($M$112="x",4)+IF($M$108="x",1)-IF($M$109="x",1)-IF($M$99="x",1)+IF($M$90="x",1)-IF($C$97="x",4,10)))))</f>
        <v>-10</v>
      </c>
      <c r="C325" s="54" t="str">
        <f>_xlfn.IFS($C$7="Minimaalinen","1n3",$C$7="Taskukokoinen","1n4",$C$7="Hyvin pieni","1n6",$C$7="Pieni","1n8",$C$7="Keskikokoinen","1n10",$C$7="Iso","2n8",$C$7="Valtava","3n8",$C$7="Suunnaton","4n8",$C$7="Giganttinen","6n8")</f>
        <v>1n10</v>
      </c>
      <c r="D325" s="123">
        <f>INT($I$2/2)+($C$120)+I321+$M$77+IF(I323="x",2)+IF(K323="x",2)+IF($M$119="x",2)+IF($M$108="x",1)+$M$94+K321-IF($M$109="x",1)</f>
        <v>0</v>
      </c>
      <c r="E325" s="49" t="str">
        <f>_xlfn.IFS($C$7="Minimaalinen","2n3",$C$7="Taskukokoinen","2n4",$C$7="Hyvin pieni","2n6",$C$7="Pieni","2n8",$C$7="Keskikokoinen","2n10",$C$7="Iso","4n8",$C$7="Valtava","6n8",$C$7="Suunnaton","8n8",$C$7="Giganttinen","12n8")</f>
        <v>2n10</v>
      </c>
      <c r="F325" s="124">
        <f>SUM(D325*2)</f>
        <v>0</v>
      </c>
      <c r="G325" s="124" t="str">
        <f>(IF($I$89="x","50 %","")&amp;(IF($C$81="x","20 %",""))&amp;(IF($C$82="x","50 %","")))</f>
        <v/>
      </c>
      <c r="H325" s="40"/>
      <c r="I325" s="138"/>
      <c r="J325" s="131"/>
      <c r="K325" s="135"/>
      <c r="AB325" s="50"/>
      <c r="AC325" s="51"/>
      <c r="AD325" s="49"/>
      <c r="AE325" s="51"/>
      <c r="AF325" s="49"/>
      <c r="AG325" s="49"/>
      <c r="AH325" s="49"/>
      <c r="AI325" s="40"/>
      <c r="AJ325" s="40"/>
      <c r="AK325" s="40"/>
      <c r="AL325" s="40"/>
    </row>
    <row r="326" spans="1:38" x14ac:dyDescent="0.2">
      <c r="B326" s="15"/>
      <c r="C326" s="15"/>
      <c r="D326" s="15"/>
      <c r="F326" s="15"/>
      <c r="G326" s="15"/>
      <c r="H326" s="15"/>
      <c r="I326" s="15"/>
      <c r="AB326" s="50"/>
      <c r="AC326" s="49"/>
      <c r="AD326" s="49"/>
      <c r="AE326" s="51"/>
      <c r="AF326" s="49"/>
      <c r="AG326" s="49"/>
      <c r="AH326" s="49"/>
      <c r="AI326" s="48"/>
    </row>
    <row r="327" spans="1:38" x14ac:dyDescent="0.2">
      <c r="B327" s="15"/>
      <c r="C327" s="15"/>
      <c r="D327" s="15"/>
      <c r="F327" s="15"/>
      <c r="G327" s="15"/>
      <c r="H327" s="15"/>
      <c r="I327" s="15"/>
      <c r="AB327" s="52"/>
      <c r="AC327" s="53"/>
      <c r="AD327" s="54"/>
      <c r="AE327" s="53"/>
      <c r="AF327" s="54"/>
      <c r="AG327" s="54"/>
      <c r="AH327" s="54"/>
      <c r="AI327" s="40"/>
      <c r="AJ327" s="40"/>
      <c r="AL327" s="49"/>
    </row>
    <row r="328" spans="1:38" x14ac:dyDescent="0.2">
      <c r="A328" s="134" t="s">
        <v>299</v>
      </c>
      <c r="B328" s="130" t="s">
        <v>1</v>
      </c>
      <c r="C328" s="130" t="s">
        <v>2</v>
      </c>
      <c r="D328" s="130" t="s">
        <v>3</v>
      </c>
      <c r="E328" s="130" t="s">
        <v>229</v>
      </c>
      <c r="F328" s="130" t="s">
        <v>3</v>
      </c>
      <c r="G328" s="130" t="s">
        <v>45</v>
      </c>
      <c r="H328" s="14" t="s">
        <v>179</v>
      </c>
      <c r="I328" s="130" t="s">
        <v>242</v>
      </c>
      <c r="J328" s="130" t="s">
        <v>224</v>
      </c>
      <c r="K328" s="130" t="s">
        <v>225</v>
      </c>
    </row>
    <row r="329" spans="1:38" x14ac:dyDescent="0.2">
      <c r="A329" s="131" t="s">
        <v>219</v>
      </c>
      <c r="B329" s="12">
        <f>IF($I$85="x","PAINISSA",IF($C$3&lt;=5,SUM($C$3,$I$2)-$C$120+IF($C$75="x",2)+$I$16-$B$10+$M$94+IF($C$77="x",2)-IF($C$78="x",4)-IF($I$78="x",1)-IF($C$79="x",4)+IF($C$80="x",1)-IF($I$77="x",2)-IF($I$90="x",2)+IF($I$83="x",2)-IF($C$75="x",4)-$C$112+IF(H329="x",1)+I329+$M$77+IF(H331="x",1)+IF(J331="x",1)+IF($M$76="x",2)+J329+IF($M$85="x",1)+IF($M$113="x",1)+IF($M$120="x",2)+IF($M$119="x",2)+IF($M$105="x",1)+IF($M$110="x",1)+IF($M$111="x",2)+IF($M$112="x",4)+IF($M$108="x",1)-IF($M$109="x",1)-IF($M$99="x",1)+IF($M$90="x",1),
IF(AND($C$3&gt;5,$C$3&lt;11),SUM($C$3,$I$2)-$C$120+IF($C$75="x",2)+$I$16-$B$10+$M$94+IF($C$77="x",2)-IF($C$78="x",4)-IF($I$78="x",1)-IF($C$79="x",4)+IF($C$80="x",1)-IF($I$77="x",2)-IF($I$90="x",2)+IF($I$83="x",2)-IF($C$83="x",4)-$C$112+IF(H329="x",1)+I329+$M$77+IF(H331="x",1)+IF(J331="x",1)+IF($M$76="x",2)+J329+IF($M$85="x",1)+IF($M$113="x",1)+IF($M$120="x",2)+IF($M$119="x",2)+IF($M$105="x",1)+IF($M$110="x",1)+IF($M$111="x",2)+IF($M$112="x",4)+IF($M$108="x",1)-IF($M$109="x",1)-IF($M$99="x",1)+IF($M$90="x",1)
&amp;"/"&amp;SUM($C$3,$I$2)-$C$120+IF($C$75="x",2)+$I$16-$B$10+$M$94+IF($C$77="x",2)-IF($C$78="x",4)-IF($I$78="x",1)-IF($C$79="x",4)+IF($C$80="x",1)-IF($I$77="x",2)-IF($I$90="x",2)+IF($I$83="x",2)-IF($C$83="x",4)-$C$112-5+IF(H329="x",1)+I329+$M$77+IF(H331="x",1)+IF(J331="x",1)+IF($M$76="x",2)+J329+IF($M$85="x",1)+IF($M$113="x",1)+IF($M$120="x",2)+IF($M$119="x",2)+IF($M$105="x",1)+IF($M$110="x",1)+IF($M$111="x",2)+IF($M$112="x",4)+IF($M$108="x",1)-IF($M$109="x",1)-IF($M$99="x",1)+IF($M$90="x",1),
IF(AND($C$3&gt;10,$C$3&lt;16),SUM($C$3,$I$2)-$C$120+IF($C$75="x",2)+$I$16-$B$10+$M$94+IF($C$77="x",2)-IF($C$78="x",4)-IF($I$78="x",1)-IF($C$79="x",4)+IF($C$80="x",1)-IF($I$77="x",2)-IF($I$90="x",2)+IF($I$83="x",2)-IF($C$83="x",4)-$C$112+IF(H329="x",1)+I329+$M$77+IF(H331="x",1)+IF(J331="x",1)+IF($M$76="x",2)+J329+IF($M$85="x",1)+IF($M$113="x",1)+IF($M$120="x",2)+IF($M$119="x",2)+IF($M$105="x",1)+IF($M$110="x",1)+IF($M$111="x",2)+IF($M$112="x",4)+IF($M$108="x",1)-IF($M$109="x",1)+IF($M$99="x",20)-IF($M$99="x",1)+IF($M$90="x",1)
&amp;"/"&amp;SUM($C$3,$I$2)-$C$120+IF($C$75="x",2)+$I$16-$B$10+$M$94+IF($C$77="x",2)-IF($C$78="x",4)-IF($I$78="x",1)-IF($C$79="x",4)+IF($C$80="x",1)-IF($I$77="x",2)-IF($I$90="x",2)+IF($I$83="x",2)-IF($C$83="x",4)-$C$112-5+IF(H651="x",1)+IF(H329="x",1)+I329+$M$77+IF(H331="x",1)+IF(J331="x",1)+IF($M$76="x",2)+J329+IF($M$85="x",1)+IF($M$113="x",1)+IF($M$120="x",2)+IF($M$119="x",2)+IF($M$105="x",1)+IF($M$110="x",1)+IF($M$111="x",2)+IF($M$112="x",4)+IF($M$108="x",1)-IF($M$109="x",1)-IF($M$99="x",1)+IF($M$90="x",1)
&amp;"/"&amp;SUM($C$3,$I$2)-$C$120+IF($C$75="x",2)+$I$16-$B$10+$M$94+IF($C$77="x",2)-IF($C$78="x",4)-IF($I$78="x",1)-IF($C$79="x",4)+IF($C$80="x",1)-IF($I$77="x",2)-IF($I$90="x",2)+IF($I$83="x",2)-IF($C$83="x",4)-$C$112-10+IF(H651="x",1)+IF(H329="x",1)+I329+$M$77+IF(H331="x",1)+IF(J331="x",1)+IF($M$76="x",2)+J329+IF($M$85="x",1)+IF($M$113="x",1)+IF($M$120="x",2)+IF($M$119="x",2)+IF($M$105="x",1)+IF($M$110="x",1)+IF($M$111="x",2)+IF($M$112="x",4)+IF($M$108="x",1)-IF($M$109="x",1)-IF($M$99="x",1)+IF($M$90="x",1),
IF(AND($C$3&gt;15),SUM($C$3,$I$2)-$C$120+IF($C$75="x",2)+$I$16-$B$10+$M$94+IF($C$77="x",2)-IF($C$78="x",4)-IF($I$78="x",1)-IF($C$79="x",4)+IF($C$80="x",1)-IF($I$77="x",2)-IF($I$90="x",2)+IF($I$83="x",2)-IF($C$83="x",4)-$C$112+IF(H329="x",1)+I329+$M$77+IF(H331="x",1)+IF(J331="x",1)+IF($M$76="x",2)+J329+IF($M$85="x",1)+IF($M$113="x",1)+IF($M$120="x",2)+IF($M$119="x",2)+IF($M$105="x",1)+IF($M$110="x",1)+IF($M$111="x",2)+IF($M$112="x",4)+IF($M$108="x",1)-IF($M$109="x",1)-IF($M$99="x",1)+IF($M$90="x",1)
&amp;"/"&amp;SUM($C$3,$I$2)-$C$120+IF($C$75="x",2)+$I$16-$B$10+$M$94+IF($C$77="x",2)-IF($C$78="x",4)-IF($I$78="x",1)-IF($C$79="x",4)+IF($C$80="x",1)-IF($I$77="x",2)-IF($I$90="x",2)+IF($I$83="x",2)-IF($C$83="x",4)-$C$112-5+IF(H651="x",1)+IF(H329="x",1)+I329+$M$77+IF(H331="x",1)+IF(J331="x",1)+IF($M$76="x",2)+J329+IF($M$85="x",1)+IF($M$113="x",1)+IF($M$120="x",2)+IF($M$119="x",2)+IF($M$105="x",1)+IF($M$110="x",1)+IF($M$111="x",2)+IF($M$112="x",4)+IF($M$108="x",1)-IF($M$109="x",1)-IF($M$99="x",1)+IF($M$90="x",1)
&amp;"/"&amp;SUM($C$3,$I$2)-$C$120+IF($C$75="x",2)+$I$16-$B$10+$M$94+IF($C$77="x",2)-IF($C$78="x",4)-IF($I$78="x",1)-IF($C$79="x",4)+IF($C$80="x",1)-IF($I$77="x",2)-IF($I$90="x",2)+IF($I$83="x",2)-IF($C$83="x",4)-$C$112-10+IF(H651="x",1)+IF(H329="x",1)+I329+$M$77+IF(H331="x",1)+IF(J331="x",1)+IF($M$76="x",2)+J329+IF($M$85="x",1)+IF($M$113="x",1)+IF($M$120="x",2)+IF($M$119="x",2)+IF($M$105="x",1)+IF($M$110="x",1)+IF($M$111="x",2)+IF($M$112="x",4)+IF($M$108="x",1)-IF($M$109="x",1)-IF($M$99="x",1)+IF($M$90="x",1)
&amp;"/"&amp;SUM($C$3,$I$2)-$C$120+IF($C$75="x",2)+$I$16-$B$10+$M$94+IF($C$77="x",2)-IF($C$78="x",4)-IF($I$78="x",1)-IF($C$79="x",4)+IF($C$80="x",1)-IF($I$77="x",2)-IF($I$90="x",2)+IF($I$83="x",2)-IF($C$83="x",4)-$C$112-15+IF(H651="x",1)+IF(H329="x",1)+I329+$M$77+IF(H331="x",1)+IF(J331="x",1)+IF($M$76="x",2)+J329+IF($M$85="x",1)+IF($M$113="x",1)+IF($M$120="x",2)+IF($M$119="x",2)+IF($M$105="x",1)+IF($M$110="x",1)+IF($M$111="x",2)+IF($M$112="x",4)+IF($M$108="x",1)-IF($M$109="x",1)-IF($M$99="x",1)+IF($M$90="x",1))))))</f>
        <v>0</v>
      </c>
      <c r="C329" s="49" t="str">
        <f>_xlfn.IFS($C$7="Minimaalinen","1",$C$7="Taskukokoinen","1n2",$C$7="Hyvin pieni","1n3",$C$7="Pieni","1n4",$C$7="Keskikokoinen","1n6",$C$7="Iso","1n8",$C$7="Valtava","2n6",$C$7="Suunnaton","3n6",$C$7="Giganttinen","4n6")</f>
        <v>1n6</v>
      </c>
      <c r="D329" s="132">
        <f>SUM($I$2+$C$120)+I283+$M$77+IF(I285="x",2)+IF(K285="x",2)+IF($M$119="x",2)+IF($M$108="x",1)+$M$94-IF($M$109="x",1)+K283</f>
        <v>0</v>
      </c>
      <c r="E329" s="49" t="str">
        <f>_xlfn.IFS($C$7="Minimaalinen","4",$C$7="Taskukokoinen","4n2",$C$7="Hyvin pieni","4n3",$C$7="Pieni","4n4",$C$7="Keskikokoinen","4n6",$C$7="Iso","4n8",$C$7="Valtava","8n6",$C$7="Suunnaton","12n6",$C$7="Giganttinen","16n6")</f>
        <v>4n6</v>
      </c>
      <c r="F329" s="12">
        <f>SUM(D329*4)</f>
        <v>0</v>
      </c>
      <c r="G329" s="12" t="str">
        <f>(IF($I$89="x","50 %","")&amp;(IF($C$81="x","20 %",""))&amp;(IF($C$82="x","50 %","")))</f>
        <v/>
      </c>
      <c r="H329" s="28"/>
      <c r="I329" s="17">
        <v>0</v>
      </c>
      <c r="J329" s="17">
        <v>0</v>
      </c>
      <c r="K329" s="17">
        <v>0</v>
      </c>
    </row>
    <row r="330" spans="1:38" x14ac:dyDescent="0.2">
      <c r="A330" s="58" t="s">
        <v>8</v>
      </c>
      <c r="B330" s="119">
        <f>IF($I$85="x","PAINISSA",IF($C$3&lt;=5,SUM($C$3,$I$2)-$C$120+IF($C$75="x",2)+$I$16-$B$10+$M$94+IF($C$77="x",2)-IF($C$78="x",4)-IF($I$78="x",1)-IF($C$79="x",4)+IF($C$80="x",1)-IF($I$77="x",2)-IF($I$90="x",2)+IF($I$83="x",2)-IF($C$75="x",4)-$C$112+IF(H329="x",1)+I329+$M$77+IF(H331="x",1)+IF(J331="x",1)+IF($M$76="x",2)+J329+IF($M$85="x",1)+IF($M$113="x",1)+IF($M$120="x",2)+IF($M$119="x",2)+IF($M$105="x",1)+IF($M$110="x",1)+IF($M$111="x",2)+IF($M$112="x",4)+IF($M$108="x",1)-IF($M$109="x",1)-IF($M$99="x",1)+IF($M$90="x",1),
IF(AND($C$3&gt;5,$C$3&lt;11),SUM($C$3,$I$2)-$C$120+IF($C$75="x",2)+$I$16-$B$10+$M$94+IF($C$77="x",2)-IF($C$78="x",4)-IF($I$78="x",1)-IF($C$79="x",4)+IF($C$80="x",1)-IF($I$77="x",2)-IF($I$90="x",2)+IF($I$83="x",2)-IF($C$83="x",4)-$C$112+IF(H329="x",1)+I329+$M$77+IF(H331="x",1)+IF(J331="x",1)+IF($M$76="x",2)+J329+IF($M$85="x",1)+IF($M$113="x",1)+IF($M$120="x",2)+IF($M$119="x",2)+IF($M$105="x",1)+IF($M$110="x",1)+IF($M$111="x",2)+IF($M$112="x",4)+IF($M$108="x",1)-IF($M$109="x",1)-IF($M$99="x",1)+IF($M$90="x",1)
&amp;"/"&amp;SUM($C$3,$I$2)-$C$120+IF($C$75="x",2)+$I$16-$B$10+$M$94+IF($C$77="x",2)-IF($C$78="x",4)-IF($I$78="x",1)-IF($C$79="x",4)+IF($C$80="x",1)-IF($I$77="x",2)-IF($I$90="x",2)+IF($I$83="x",2)-IF($C$83="x",4)-$C$112-5+IF(H329="x",1)+I329+$M$77+IF(H331="x",1)+IF(J331="x",1)+IF($M$76="x",2)+J329+IF($M$85="x",1)+IF($M$113="x",1)+IF($M$120="x",2)+IF($M$119="x",2)+IF($M$105="x",1)+IF($M$110="x",1)+IF($M$111="x",2)+IF($M$112="x",4)+IF($M$108="x",1)-IF($M$109="x",1)-IF($M$99="x",1)+IF($M$90="x",1),
IF(AND($C$3&gt;10,$C$3&lt;16),SUM($C$3,$I$2)-$C$120+IF($C$75="x",2)+$I$16-$B$10+$M$94+IF($C$77="x",2)-IF($C$78="x",4)-IF($I$78="x",1)-IF($C$79="x",4)+IF($C$80="x",1)-IF($I$77="x",2)-IF($I$90="x",2)+IF($I$83="x",2)-IF($C$83="x",4)-$C$112+IF(H329="x",1)+I329+$M$77+IF(H331="x",1)+IF(J331="x",1)+IF($M$76="x",2)+J329+IF($M$85="x",1)+IF($M$113="x",1)+IF($M$120="x",2)+IF($M$119="x",2)+IF($M$105="x",1)+IF($M$110="x",1)+IF($M$111="x",2)+IF($M$112="x",4)+IF($M$108="x",1)-IF($M$109="x",1)+IF($M$99="x",20)-IF($M$99="x",1)+IF($M$90="x",1)
&amp;"/"&amp;SUM($C$3,$I$2)-$C$120+IF($C$75="x",2)+$I$16-$B$10+$M$94+IF($C$77="x",2)-IF($C$78="x",4)-IF($I$78="x",1)-IF($C$79="x",4)+IF($C$80="x",1)-IF($I$77="x",2)-IF($I$90="x",2)+IF($I$83="x",2)-IF($C$83="x",4)-$C$112-5+IF(H651="x",1)+IF(H329="x",1)+I329+$M$77+IF(H331="x",1)+IF(J331="x",1)+IF($M$76="x",2)+J329+IF($M$85="x",1)+IF($M$113="x",1)+IF($M$120="x",2)+IF($M$119="x",2)+IF($M$105="x",1)+IF($M$110="x",1)+IF($M$111="x",2)+IF($M$112="x",4)+IF($M$108="x",1)-IF($M$109="x",1)-IF($M$99="x",1)+IF($M$90="x",1)
&amp;"/"&amp;SUM($C$3,$I$2)-$C$120+IF($C$75="x",2)+$I$16-$B$10+$M$94+IF($C$77="x",2)-IF($C$78="x",4)-IF($I$78="x",1)-IF($C$79="x",4)+IF($C$80="x",1)-IF($I$77="x",2)-IF($I$90="x",2)+IF($I$83="x",2)-IF($C$83="x",4)-$C$112-10+IF(H651="x",1)+IF(H329="x",1)+I329+$M$77+IF(H331="x",1)+IF(J331="x",1)+IF($M$76="x",2)+J329+IF($M$85="x",1)+IF($M$113="x",1)+IF($M$120="x",2)+IF($M$119="x",2)+IF($M$105="x",1)+IF($M$110="x",1)+IF($M$111="x",2)+IF($M$112="x",4)+IF($M$108="x",1)-IF($M$109="x",1)-IF($M$99="x",1)+IF($M$90="x",1),
IF(AND($C$3&gt;15),SUM($C$3,$I$2)-$C$120+IF($C$75="x",2)+$I$16-$B$10+$M$94+IF($C$77="x",2)-IF($C$78="x",4)-IF($I$78="x",1)-IF($C$79="x",4)+IF($C$80="x",1)-IF($I$77="x",2)-IF($I$90="x",2)+IF($I$83="x",2)-IF($C$83="x",4)-$C$112+IF(H329="x",1)+I329+$M$77+IF(H331="x",1)+IF(J331="x",1)+IF($M$76="x",2)+J329+IF($M$85="x",1)+IF($M$113="x",1)+IF($M$120="x",2)+IF($M$119="x",2)+IF($M$105="x",1)+IF($M$110="x",1)+IF($M$111="x",2)+IF($M$112="x",4)+IF($M$108="x",1)-IF($M$109="x",1)-IF($M$99="x",1)+IF($M$90="x",1)
&amp;"/"&amp;SUM($C$3,$I$2)-$C$120+IF($C$75="x",2)+$I$16-$B$10+$M$94+IF($C$77="x",2)-IF($C$78="x",4)-IF($I$78="x",1)-IF($C$79="x",4)+IF($C$80="x",1)-IF($I$77="x",2)-IF($I$90="x",2)+IF($I$83="x",2)-IF($C$83="x",4)-$C$112-5+IF(H651="x",1)+IF(H329="x",1)+I329+$M$77+IF(H331="x",1)+IF(J331="x",1)+IF($M$76="x",2)+J329+IF($M$85="x",1)+IF($M$113="x",1)+IF($M$120="x",2)+IF($M$119="x",2)+IF($M$105="x",1)+IF($M$110="x",1)+IF($M$111="x",2)+IF($M$112="x",4)+IF($M$108="x",1)-IF($M$109="x",1)-IF($M$99="x",1)+IF($M$90="x",1)
&amp;"/"&amp;SUM($C$3,$I$2)-$C$120+IF($C$75="x",2)+$I$16-$B$10+$M$94+IF($C$77="x",2)-IF($C$78="x",4)-IF($I$78="x",1)-IF($C$79="x",4)+IF($C$80="x",1)-IF($I$77="x",2)-IF($I$90="x",2)+IF($I$83="x",2)-IF($C$83="x",4)-$C$112-10+IF(H651="x",1)+IF(H329="x",1)+I329+$M$77+IF(H331="x",1)+IF(J331="x",1)+IF($M$76="x",2)+J329+IF($M$85="x",1)+IF($M$113="x",1)+IF($M$120="x",2)+IF($M$119="x",2)+IF($M$105="x",1)+IF($M$110="x",1)+IF($M$111="x",2)+IF($M$112="x",4)+IF($M$108="x",1)-IF($M$109="x",1)-IF($M$99="x",1)+IF($M$90="x",1)
&amp;"/"&amp;SUM($C$3,$I$2)-$C$120+IF($C$75="x",2)+$I$16-$B$10+$M$94+IF($C$77="x",2)-IF($C$78="x",4)-IF($I$78="x",1)-IF($C$79="x",4)+IF($C$80="x",1)-IF($I$77="x",2)-IF($I$90="x",2)+IF($I$83="x",2)-IF($C$83="x",4)-$C$112-15+IF(H651="x",1)+IF(H329="x",1)+I329+$M$77+IF(H331="x",1)+IF(J331="x",1)+IF($M$76="x",2)+J329+IF($M$85="x",1)+IF($M$113="x",1)+IF($M$120="x",2)+IF($M$119="x",2)+IF($M$105="x",1)+IF($M$110="x",1)+IF($M$111="x",2)+IF($M$112="x",4)+IF($M$108="x",1)-IF($M$109="x",1)-IF($M$99="x",1)+IF($M$90="x",1))))))</f>
        <v>0</v>
      </c>
      <c r="C330" s="114" t="str">
        <f>_xlfn.IFS($C$7="Minimaalinen","1",$C$7="Taskukokoinen","1n2",$C$7="Hyvin pieni","1n3",$C$7="Pieni","1n4",$C$7="Keskikokoinen","1n6",$C$7="Iso","1n8",$C$7="Valtava","2n6",$C$7="Suunnaton","3n6",$C$7="Giganttinen","4n6")</f>
        <v>1n6</v>
      </c>
      <c r="D330" s="119">
        <f>IF($I$2&lt;0,$I$2,INT($I$2*1.5))+($C$120*2)+I329+$M$77+IF(I331="x",2)+IF(K331="x",2)+IF($M$119="x",2)+IF($M$108="x",1)+$M$94-IF($M$109="x",1)+K329</f>
        <v>0</v>
      </c>
      <c r="E330" s="114" t="str">
        <f>_xlfn.IFS($C$7="Minimaalinen","4",$C$7="Taskukokoinen","4n2",$C$7="Hyvin pieni","4n3",$C$7="Pieni","4n4",$C$7="Keskikokoinen","4n6",$C$7="Iso","4n8",$C$7="Valtava","8n6",$C$7="Suunnaton","12n6",$C$7="Giganttinen","16n6")</f>
        <v>4n6</v>
      </c>
      <c r="F330" s="120">
        <f>SUM(D330*4)</f>
        <v>0</v>
      </c>
      <c r="G330" s="120" t="str">
        <f>(IF($I$89="x","50 %","")&amp;(IF($C$81="x","20 %",""))&amp;(IF($C$82="x","50 %","")))</f>
        <v/>
      </c>
      <c r="H330" s="14" t="s">
        <v>220</v>
      </c>
      <c r="I330" s="14" t="s">
        <v>221</v>
      </c>
      <c r="J330" s="14" t="s">
        <v>222</v>
      </c>
      <c r="K330" s="14" t="s">
        <v>223</v>
      </c>
      <c r="AB330" s="115"/>
      <c r="AC330" s="116"/>
      <c r="AD330" s="116"/>
      <c r="AE330" s="116"/>
      <c r="AF330" s="116"/>
      <c r="AG330" s="116"/>
      <c r="AH330" s="116"/>
      <c r="AI330" s="116"/>
      <c r="AJ330" s="116"/>
      <c r="AK330" s="116"/>
      <c r="AL330" s="116"/>
    </row>
    <row r="331" spans="1:38" x14ac:dyDescent="0.2">
      <c r="A331" s="133" t="s">
        <v>438</v>
      </c>
      <c r="B331" s="121">
        <f>IF($I$85="x","PAINISSA",IF($C$3&lt;=5,SUM($C$3,$I$2)-$C$120+IF($C$75="x",2)+$I$16-$B$10+$M$94+IF($C$77="x",2)-IF($C$78="x",4)-IF($I$78="x",1)-IF($C$79="x",4)+IF($C$80="x",1)-IF($I$77="x",2)-IF($I$90="x",2)+IF($I$83="x",2)-IF($C$75="x",4)-$C$112+IF(H329="x",1)+I329+$M$77+IF(H331="x",1)+IF(J331="x",1)+IF($M$76="x",2)+J329+IF($M$85="x",1)+IF($M$113="x",1)+IF($M$120="x",2)+IF($M$119="x",2)+IF($M$105="x",1)+IF($M$110="x",1)+IF($M$111="x",2)+IF($M$112="x",4)+IF($M$108="x",1)-IF($M$109="x",1)-IF($M$99="x",1)+IF($M$90="x",1)-IF($C$97="x",2,4),
IF(AND($C$3&gt;5,$C$3&lt;11),SUM($C$3,$I$2)-$C$120+IF($C$75="x",2)+$I$16-$B$10+$M$94+IF($C$77="x",2)-IF($C$78="x",4)-IF($I$78="x",1)-IF($C$79="x",4)+IF($C$80="x",1)-IF($I$77="x",2)-IF($I$90="x",2)+IF($I$83="x",2)-IF($C$83="x",4)-$C$112+IF(H329="x",1)+I329+$M$77+IF(H331="x",1)+IF(J331="x",1)+IF($M$76="x",2)+J329+IF($M$85="x",1)+IF($M$113="x",1)+IF($M$120="x",2)+IF($M$119="x",2)+IF($M$105="x",1)+IF($M$110="x",1)+IF($M$111="x",2)+IF($M$112="x",4)+IF($M$108="x",1)-IF($M$109="x",1)-IF($M$99="x",1)+IF($M$90="x",1)-IF($C$97="x",2,4)
&amp;"/"&amp;SUM($C$3,$I$2)-$C$120+IF($C$75="x",2)+$I$16-$B$10+$M$94+IF($C$77="x",2)-IF($C$78="x",4)-IF($I$78="x",1)-IF($C$79="x",4)+IF($C$80="x",1)-IF($I$77="x",2)-IF($I$90="x",2)+IF($I$83="x",2)-IF($C$83="x",4)-$C$112-5+IF(H329="x",1)+I329+$M$77+IF(H331="x",1)+IF(J331="x",1)+IF($M$76="x",2)+J329+IF($M$85="x",1)+IF($M$113="x",1)+IF($M$120="x",2)+IF($M$119="x",2)+IF($M$105="x",1)+IF($M$110="x",1)+IF($M$111="x",2)+IF($M$112="x",4)+IF($M$108="x",1)-IF($M$109="x",1)-IF($M$99="x",1)+IF($M$90="x",1)-IF($C$97="x",2,4),
IF(AND($C$3&gt;10,$C$3&lt;16),SUM($C$3,$I$2)-$C$120+IF($C$75="x",2)+$I$16-$B$10+$M$94+IF($C$77="x",2)-IF($C$78="x",4)-IF($I$78="x",1)-IF($C$79="x",4)+IF($C$80="x",1)-IF($I$77="x",2)-IF($I$90="x",2)+IF($I$83="x",2)-IF($C$83="x",4)-$C$112+IF(H329="x",1)+I329+$M$77+IF(H331="x",1)+IF(J331="x",1)+IF($M$76="x",2)+J329+IF($M$85="x",1)+IF($M$113="x",1)+IF($M$120="x",2)+IF($M$119="x",2)+IF($M$105="x",1)+IF($M$110="x",1)+IF($M$111="x",2)+IF($M$112="x",4)+IF($M$108="x",1)-IF($M$109="x",1)+IF($M$99="x",20)-IF($M$99="x",1)+IF($M$90="x",1)-IF($C$97="x",2,4)
&amp;"/"&amp;SUM($C$3,$I$2)-$C$120+IF($C$75="x",2)+$I$16-$B$10+$M$94+IF($C$77="x",2)-IF($C$78="x",4)-IF($I$78="x",1)-IF($C$79="x",4)+IF($C$80="x",1)-IF($I$77="x",2)-IF($I$90="x",2)+IF($I$83="x",2)-IF($C$83="x",4)-$C$112-5+IF(H651="x",1)+IF(H329="x",1)+I329+$M$77+IF(H331="x",1)+IF(J331="x",1)+IF($M$76="x",2)+J329+IF($M$85="x",1)+IF($M$113="x",1)+IF($M$120="x",2)+IF($M$119="x",2)+IF($M$105="x",1)+IF($M$110="x",1)+IF($M$111="x",2)+IF($M$112="x",4)+IF($M$108="x",1)-IF($M$109="x",1)-IF($M$99="x",1)+IF($M$90="x",1)-IF($C$97="x",2,4)
&amp;"/"&amp;SUM($C$3,$I$2)-$C$120+IF($C$75="x",2)+$I$16-$B$10+$M$94+IF($C$77="x",2)-IF($C$78="x",4)-IF($I$78="x",1)-IF($C$79="x",4)+IF($C$80="x",1)-IF($I$77="x",2)-IF($I$90="x",2)+IF($I$83="x",2)-IF($C$83="x",4)-$C$112-10+IF(H651="x",1)+IF(H329="x",1)+I329+$M$77+IF(H331="x",1)+IF(J331="x",1)+IF($M$76="x",2)+J329+IF($M$85="x",1)+IF($M$113="x",1)+IF($M$120="x",2)+IF($M$119="x",2)+IF($M$105="x",1)+IF($M$110="x",1)+IF($M$111="x",2)+IF($M$112="x",4)+IF($M$108="x",1)-IF($M$109="x",1)-IF($M$99="x",1)+IF($M$90="x",1)-IF($C$97="x",2,4),
IF(AND($C$3&gt;15),SUM($C$3,$I$2)-$C$120+IF($C$75="x",2)+$I$16-$B$10+$M$94+IF($C$77="x",2)-IF($C$78="x",4)-IF($I$78="x",1)-IF($C$79="x",4)+IF($C$80="x",1)-IF($I$77="x",2)-IF($I$90="x",2)+IF($I$83="x",2)-IF($C$83="x",4)-$C$112+IF(H329="x",1)+I329+$M$77+IF(H331="x",1)+IF(J331="x",1)+IF($M$76="x",2)+J329+IF($M$85="x",1)+IF($M$113="x",1)+IF($M$120="x",2)+IF($M$119="x",2)+IF($M$105="x",1)+IF($M$110="x",1)+IF($M$111="x",2)+IF($M$112="x",4)+IF($M$108="x",1)-IF($M$109="x",1)-IF($M$99="x",1)+IF($M$90="x",1)-IF($C$97="x",2,4)
&amp;"/"&amp;SUM($C$3,$I$2)-$C$120+IF($C$75="x",2)+$I$16-$B$10+$M$94+IF($C$77="x",2)-IF($C$78="x",4)-IF($I$78="x",1)-IF($C$79="x",4)+IF($C$80="x",1)-IF($I$77="x",2)-IF($I$90="x",2)+IF($I$83="x",2)-IF($C$83="x",4)-$C$112-5+IF(H651="x",1)+IF(H329="x",1)+I329+$M$77+IF(H331="x",1)+IF(J331="x",1)+IF($M$76="x",2)+J329+IF($M$85="x",1)+IF($M$113="x",1)+IF($M$120="x",2)+IF($M$119="x",2)+IF($M$105="x",1)+IF($M$110="x",1)+IF($M$111="x",2)+IF($M$112="x",4)+IF($M$108="x",1)-IF($M$109="x",1)-IF($M$99="x",1)+IF($M$90="x",1)-IF($C$97="x",2,4)
&amp;"/"&amp;SUM($C$3,$I$2)-$C$120+IF($C$75="x",2)+$I$16-$B$10+$M$94+IF($C$77="x",2)-IF($C$78="x",4)-IF($I$78="x",1)-IF($C$79="x",4)+IF($C$80="x",1)-IF($I$77="x",2)-IF($I$90="x",2)+IF($I$83="x",2)-IF($C$83="x",4)-$C$112-10+IF(H651="x",1)+IF(H329="x",1)+I329+$M$77+IF(H331="x",1)+IF(J331="x",1)+IF($M$76="x",2)+J329+IF($M$85="x",1)+IF($M$113="x",1)+IF($M$120="x",2)+IF($M$119="x",2)+IF($M$105="x",1)+IF($M$110="x",1)+IF($M$111="x",2)+IF($M$112="x",4)+IF($M$108="x",1)-IF($M$109="x",1)-IF($M$99="x",1)+IF($M$90="x",1)-IF($C$97="x",2,4)
&amp;"/"&amp;SUM($C$3,$I$2)-$C$120+IF($C$75="x",2)+$I$16-$B$10+$M$94+IF($C$77="x",2)-IF($C$78="x",4)-IF($I$78="x",1)-IF($C$79="x",4)+IF($C$80="x",1)-IF($I$77="x",2)-IF($I$90="x",2)+IF($I$83="x",2)-IF($C$83="x",4)-$C$112-15+IF(H651="x",1)+IF(H329="x",1)+I329+$M$77+IF(H331="x",1)+IF(J331="x",1)+IF($M$76="x",2)+J329+IF($M$85="x",1)+IF($M$113="x",1)+IF($M$120="x",2)+IF($M$119="x",2)+IF($M$105="x",1)+IF($M$110="x",1)+IF($M$111="x",2)+IF($M$112="x",4)+IF($M$108="x",1)-IF($M$109="x",1)-IF($M$99="x",1)+IF($M$90="x",1)-IF($C$97="x",2,4))))))</f>
        <v>-4</v>
      </c>
      <c r="C331" s="49" t="str">
        <f>_xlfn.IFS($C$7="Minimaalinen","1",$C$7="Taskukokoinen","1n2",$C$7="Hyvin pieni","1n3",$C$7="Pieni","1n4",$C$7="Keskikokoinen","1n6",$C$7="Iso","1n8",$C$7="Valtava","2n6",$C$7="Suunnaton","3n6",$C$7="Giganttinen","4n6")</f>
        <v>1n6</v>
      </c>
      <c r="D331" s="121">
        <f>SUM($I$2+$C$120)+I329+$M$77+IF(I331="x",2)+IF(K331="x",2)+IF($M$119="x",2)+IF($M$108="x",1)+$M$94-IF($M$109="x",1)+K329</f>
        <v>0</v>
      </c>
      <c r="E331" s="49" t="str">
        <f>_xlfn.IFS($C$7="Minimaalinen","4",$C$7="Taskukokoinen","4n2",$C$7="Hyvin pieni","4n3",$C$7="Pieni","4n4",$C$7="Keskikokoinen","4n6",$C$7="Iso","4n8",$C$7="Valtava","8n6",$C$7="Suunnaton","12n6",$C$7="Giganttinen","16n6")</f>
        <v>4n6</v>
      </c>
      <c r="F331" s="12">
        <f>SUM(D331*4)</f>
        <v>0</v>
      </c>
      <c r="G331" s="82" t="str">
        <f>(IF($I$89="x","50 %","")&amp;(IF($C$81="x","20 %",""))&amp;(IF($C$82="x","50 %","")))</f>
        <v/>
      </c>
      <c r="H331" s="28"/>
      <c r="I331" s="28"/>
      <c r="J331" s="28"/>
      <c r="K331" s="28"/>
      <c r="AB331" s="57"/>
      <c r="AC331" s="40"/>
      <c r="AD331" s="49"/>
      <c r="AE331" s="117"/>
      <c r="AF331" s="49"/>
      <c r="AG331" s="40"/>
      <c r="AH331" s="40"/>
      <c r="AI331" s="40"/>
      <c r="AJ331" s="40"/>
      <c r="AK331" s="40"/>
      <c r="AL331" s="40"/>
    </row>
    <row r="332" spans="1:38" x14ac:dyDescent="0.2">
      <c r="A332" s="133" t="s">
        <v>437</v>
      </c>
      <c r="B332" s="82">
        <f>IF($I$85="x","PAINISSA",IF($C$3&lt;=5,SUM($C$3,$I$2)-$C$120+IF($C$75="x",2)+$I$16-$B$10+$M$94+IF($C$77="x",2)-IF($C$78="x",4)-IF($I$78="x",1)-IF($C$79="x",4)+IF($C$80="x",1)-IF($I$77="x",2)-IF($I$90="x",2)+IF($I$83="x",2)-IF($C$75="x",4)-$C$112+IF(H329="x",1)+I329+$M$77+IF(H331="x",1)+IF(J331="x",1)+IF($M$76="x",2)+J329+IF($M$85="x",1)+IF($M$113="x",1)+IF($M$120="x",2)+IF($M$119="x",2)+IF($M$105="x",1)+IF($M$110="x",1)+IF($M$111="x",2)+IF($M$112="x",4)+IF($M$108="x",1)-IF($M$109="x",1)-IF($M$99="x",1)+IF($M$90="x",1)-IF($C$97="x",4,6),
IF(AND($C$3&gt;5,$C$3&lt;11),SUM($C$3,$I$2)-$C$120+IF($C$75="x",2)+$I$16-$B$10+$M$94+IF($C$77="x",2)-IF($C$78="x",4)-IF($I$78="x",1)-IF($C$79="x",4)+IF($C$80="x",1)-IF($I$77="x",2)-IF($I$90="x",2)+IF($I$83="x",2)-IF($C$83="x",4)-$C$112+IF(H329="x",1)+I329+$M$77+IF(H331="x",1)+IF(J331="x",1)+IF($M$76="x",2)+J329+IF($M$85="x",1)+IF($M$113="x",1)+IF($M$120="x",2)+IF($M$119="x",2)+IF($M$105="x",1)+IF($M$110="x",1)+IF($M$111="x",2)+IF($M$112="x",4)+IF($M$108="x",1)-IF($M$109="x",1)-IF($M$99="x",1)+IF($M$90="x",1)-IF($C$97="x",4,6)
&amp;"/"&amp;SUM($C$3,$I$2)-$C$120+IF($C$75="x",2)+$I$16-$B$10+$M$94+IF($C$77="x",2)-IF($C$78="x",4)-IF($I$78="x",1)-IF($C$79="x",4)+IF($C$80="x",1)-IF($I$77="x",2)-IF($I$90="x",2)+IF($I$83="x",2)-IF($C$83="x",4)-$C$112-5+IF(H329="x",1)+I329+$M$77+IF(H331="x",1)+IF(J331="x",1)+IF($M$76="x",2)+J329+IF($M$85="x",1)+IF($M$113="x",1)+IF($M$120="x",2)+IF($M$119="x",2)+IF($M$105="x",1)+IF($M$110="x",1)+IF($M$111="x",2)+IF($M$112="x",4)+IF($M$108="x",1)-IF($M$109="x",1)-IF($M$99="x",1)+IF($M$90="x",1)-IF($C$97="x",4,6),
IF(AND($C$3&gt;10,$C$3&lt;16),SUM($C$3,$I$2)-$C$120+IF($C$75="x",2)+$I$16-$B$10+$M$94+IF($C$77="x",2)-IF($C$78="x",4)-IF($I$78="x",1)-IF($C$79="x",4)+IF($C$80="x",1)-IF($I$77="x",2)-IF($I$90="x",2)+IF($I$83="x",2)-IF($C$83="x",4)-$C$112+IF(H329="x",1)+I329+$M$77+IF(H331="x",1)+IF(J331="x",1)+IF($M$76="x",2)+J329+IF($M$85="x",1)+IF($M$113="x",1)+IF($M$120="x",2)+IF($M$119="x",2)+IF($M$105="x",1)+IF($M$110="x",1)+IF($M$111="x",2)+IF($M$112="x",4)+IF($M$108="x",1)-IF($M$109="x",1)+IF($M$99="x",20)-IF($M$99="x",1)+IF($M$90="x",1)-IF($C$97="x",4,6)
&amp;"/"&amp;SUM($C$3,$I$2)-$C$120+IF($C$75="x",2)+$I$16-$B$10+$M$94+IF($C$77="x",2)-IF($C$78="x",4)-IF($I$78="x",1)-IF($C$79="x",4)+IF($C$80="x",1)-IF($I$77="x",2)-IF($I$90="x",2)+IF($I$83="x",2)-IF($C$83="x",4)-$C$112-5+IF(H651="x",1)+IF(H329="x",1)+I329+$M$77+IF(H331="x",1)+IF(J331="x",1)+IF($M$76="x",2)+J329+IF($M$85="x",1)+IF($M$113="x",1)+IF($M$120="x",2)+IF($M$119="x",2)+IF($M$105="x",1)+IF($M$110="x",1)+IF($M$111="x",2)+IF($M$112="x",4)+IF($M$108="x",1)-IF($M$109="x",1)-IF($M$99="x",1)+IF($M$90="x",1)-IF($C$97="x",4,6)
&amp;"/"&amp;SUM($C$3,$I$2)-$C$120+IF($C$75="x",2)+$I$16-$B$10+$M$94+IF($C$77="x",2)-IF($C$78="x",4)-IF($I$78="x",1)-IF($C$79="x",4)+IF($C$80="x",1)-IF($I$77="x",2)-IF($I$90="x",2)+IF($I$83="x",2)-IF($C$83="x",4)-$C$112-10+IF(H651="x",1)+IF(H329="x",1)+I329+$M$77+IF(H331="x",1)+IF(J331="x",1)+IF($M$76="x",2)+J329+IF($M$85="x",1)+IF($M$113="x",1)+IF($M$120="x",2)+IF($M$119="x",2)+IF($M$105="x",1)+IF($M$110="x",1)+IF($M$111="x",2)+IF($M$112="x",4)+IF($M$108="x",1)-IF($M$109="x",1)-IF($M$99="x",1)+IF($M$90="x",1)-IF($C$97="x",4,6),
IF(AND($C$3&gt;15),SUM($C$3,$I$2)-$C$120+IF($C$75="x",2)+$I$16-$B$10+$M$94+IF($C$77="x",2)-IF($C$78="x",4)-IF($I$78="x",1)-IF($C$79="x",4)+IF($C$80="x",1)-IF($I$77="x",2)-IF($I$90="x",2)+IF($I$83="x",2)-IF($C$83="x",4)-$C$112+IF(H329="x",1)+I329+$M$77+IF(H331="x",1)+IF(J331="x",1)+IF($M$76="x",2)+J329+IF($M$85="x",1)+IF($M$113="x",1)+IF($M$120="x",2)+IF($M$119="x",2)+IF($M$105="x",1)+IF($M$110="x",1)+IF($M$111="x",2)+IF($M$112="x",4)+IF($M$108="x",1)-IF($M$109="x",1)-IF($M$99="x",1)+IF($M$90="x",1)-IF($C$97="x",4,6)
&amp;"/"&amp;SUM($C$3,$I$2)-$C$120+IF($C$75="x",2)+$I$16-$B$10+$M$94+IF($C$77="x",2)-IF($C$78="x",4)-IF($I$78="x",1)-IF($C$79="x",4)+IF($C$80="x",1)-IF($I$77="x",2)-IF($I$90="x",2)+IF($I$83="x",2)-IF($C$83="x",4)-$C$112-5+IF(H651="x",1)+IF(H329="x",1)+I329+$M$77+IF(H331="x",1)+IF(J331="x",1)+IF($M$76="x",2)+J329+IF($M$85="x",1)+IF($M$113="x",1)+IF($M$120="x",2)+IF($M$119="x",2)+IF($M$105="x",1)+IF($M$110="x",1)+IF($M$111="x",2)+IF($M$112="x",4)+IF($M$108="x",1)-IF($M$109="x",1)-IF($M$99="x",1)+IF($M$90="x",1)-IF($C$97="x",4,6)
&amp;"/"&amp;SUM($C$3,$I$2)-$C$120+IF($C$75="x",2)+$I$16-$B$10+$M$94+IF($C$77="x",2)-IF($C$78="x",4)-IF($I$78="x",1)-IF($C$79="x",4)+IF($C$80="x",1)-IF($I$77="x",2)-IF($I$90="x",2)+IF($I$83="x",2)-IF($C$83="x",4)-$C$112-10+IF(H651="x",1)+IF(H329="x",1)+I329+$M$77+IF(H331="x",1)+IF(J331="x",1)+IF($M$76="x",2)+J329+IF($M$85="x",1)+IF($M$113="x",1)+IF($M$120="x",2)+IF($M$119="x",2)+IF($M$105="x",1)+IF($M$110="x",1)+IF($M$111="x",2)+IF($M$112="x",4)+IF($M$108="x",1)-IF($M$109="x",1)-IF($M$99="x",1)+IF($M$90="x",1)-IF($C$97="x",4,6)
&amp;"/"&amp;SUM($C$3,$I$2)-$C$120+IF($C$75="x",2)+$I$16-$B$10+$M$94+IF($C$77="x",2)-IF($C$78="x",4)-IF($I$78="x",1)-IF($C$79="x",4)+IF($C$80="x",1)-IF($I$77="x",2)-IF($I$90="x",2)+IF($I$83="x",2)-IF($C$83="x",4)-$C$112-15+IF(H651="x",1)+IF(H329="x",1)+I329+$M$77+IF(H331="x",1)+IF(J331="x",1)+IF($M$76="x",2)+J329+IF($M$85="x",1)+IF($M$113="x",1)+IF($M$120="x",2)+IF($M$119="x",2)+IF($M$105="x",1)+IF($M$110="x",1)+IF($M$111="x",2)+IF($M$112="x",4)+IF($M$108="x",1)-IF($M$109="x",1)-IF($M$99="x",1)+IF($M$90="x",1)-IF($C$97="x",4,6))))))</f>
        <v>-6</v>
      </c>
      <c r="C332" s="49" t="str">
        <f>_xlfn.IFS($C$7="Minimaalinen","1",$C$7="Taskukokoinen","1n2",$C$7="Hyvin pieni","1n3",$C$7="Pieni","1n4",$C$7="Keskikokoinen","1n6",$C$7="Iso","1n8",$C$7="Valtava","2n6",$C$7="Suunnaton","3n6",$C$7="Giganttinen","4n6")</f>
        <v>1n6</v>
      </c>
      <c r="D332" s="121">
        <f>SUM($I$2+$C$120)+I329+$M$77+IF(I331="x",2)+IF(K331="x",2)+IF($M$119="x",2)+IF($M$108="x",1)+$M$94-IF($M$109="x",1)+K329</f>
        <v>0</v>
      </c>
      <c r="E332" s="49" t="str">
        <f>_xlfn.IFS($C$7="Minimaalinen","4",$C$7="Taskukokoinen","4n2",$C$7="Hyvin pieni","4n3",$C$7="Pieni","4n4",$C$7="Keskikokoinen","4n6",$C$7="Iso","4n8",$C$7="Valtava","8n6",$C$7="Suunnaton","12n6",$C$7="Giganttinen","16n6")</f>
        <v>4n6</v>
      </c>
      <c r="F332" s="12">
        <f>SUM(D332*4)</f>
        <v>0</v>
      </c>
      <c r="G332" s="82" t="str">
        <f>(IF($I$89="x","50 %","")&amp;(IF($C$81="x","20 %",""))&amp;(IF($C$82="x","50 %","")))</f>
        <v/>
      </c>
      <c r="H332" s="48"/>
      <c r="I332" s="131"/>
      <c r="J332" s="131"/>
      <c r="K332" s="131"/>
      <c r="AB332" s="47"/>
      <c r="AC332" s="113"/>
      <c r="AD332" s="114"/>
      <c r="AE332" s="113"/>
      <c r="AF332" s="114"/>
      <c r="AG332" s="114"/>
      <c r="AH332" s="114"/>
      <c r="AI332" s="48"/>
      <c r="AJ332" s="48"/>
      <c r="AK332" s="48"/>
      <c r="AL332" s="48"/>
    </row>
    <row r="333" spans="1:38" x14ac:dyDescent="0.2">
      <c r="A333" s="139" t="s">
        <v>436</v>
      </c>
      <c r="B333" s="123">
        <f>IF($I$85="x","PAINISSA",IF(AND($C$90="",$C$118=""),SUM($C$3,$I$2)-$C$120+IF($C$75="x",2)+$I$16-$B$10+$M$94+IF($C$77="x",2)-IF($C$78="x",4)-IF($I$78="x",1)-IF($C$79="x",4)+IF($C$80="x",1)-IF($I$77="x",2)-IF($I$90="x",2)+IF($I$83="x",2)-IF($C$75="x",4)-$C$112+IF(H329="x",1)+I329+$M$77+IF(H331="x",1)+IF(J331="x",1)+IF($M$76="x",2)+J329+IF($M$85="x",1)+IF($M$113="x",1)+IF($M$120="x",2)+IF($M$119="x",2)+IF($M$105="x",1)+IF($M$110="x",1)+IF($M$111="x",2)+IF($M$112="x",4)+IF($M$108="x",1)-IF($M$109="x",1)-IF($M$99="x",1)+IF($M$90="x",1)-IF($C$97="x",4,10),
IF(AND($C$90="x",$C$118=""),SUM($C$3,$I$2)-$C$120+IF($C$75="x",2)+$I$16-$B$10+$M$94+IF($C$77="x",2)-IF($C$78="x",4)-IF($I$78="x",1)-IF($C$79="x",4)+IF($C$80="x",1)-IF($I$77="x",2)-IF($I$90="x",2)+IF($I$83="x",2)-IF($C$83="x",4)-$C$112+IF(H329="x",1)+I329+$M$77+IF(H331="x",1)+IF(J331="x",1)+IF($M$76="x",2)+J329+IF($M$85="x",1)+IF($M$113="x",1)+IF($M$120="x",2)+IF($M$119="x",2)+IF($M$105="x",1)+IF($M$110="x",1)+IF($M$111="x",2)+IF($M$112="x",4)+IF($M$108="x",1)-IF($M$109="x",1)-IF($M$99="x",1)+IF($M$90="x",1)-IF($C$97="x",4,10)
&amp;"/"&amp;SUM($C$3,$I$2)-$C$120+IF($C$75="x",2)+$I$16-$B$10+$M$94+IF($C$77="x",2)-IF($C$78="x",4)-IF($I$78="x",1)-IF($C$79="x",4)+IF($C$80="x",1)-IF($I$77="x",2)-IF($I$90="x",2)+IF($I$83="x",2)-IF($C$83="x",4)-$C$112+IF(H329="x",1)+I329+$M$77+IF(H331="x",1)+IF(J331="x",1)+IF($M$76="x",2)+J329+IF($M$85="x",1)+IF($M$113="x",1)+IF($M$120="x",2)+IF($M$119="x",2)+IF($M$105="x",1)+IF($M$110="x",1)+IF($M$111="x",2)+IF($M$112="x",4)+IF($M$108="x",1)-IF($M$109="x",1)-IF($M$99="x",1)+IF($M$90="x",1)-IF($C$97="x",4,10)-5,
IF(AND($C$90="x",$C$118="x"),SUM($C$3,$I$2)-$C$120+IF($C$75="x",2)+$I$16-$B$10+$M$94+IF($C$77="x",2)-IF($C$78="x",4)-IF($I$78="x",1)-IF($C$79="x",4)+IF($C$80="x",1)-IF($I$77="x",2)-IF($I$90="x",2)+IF($I$83="x",2)-IF($C$83="x",4)-$C$112+IF(H329="x",1)+I329+$M$77+IF(H331="x",1)+IF(J331="x",1)+IF($M$76="x",2)+J329+IF($M$85="x",1)+IF($M$113="x",1)+IF($M$120="x",2)+IF($M$119="x",2)+IF($M$105="x",1)+IF($M$110="x",1)+IF($M$111="x",2)+IF($M$112="x",4)+IF($M$108="x",1)-IF($M$109="x",1)+IF($M$99="x",20)-IF($M$99="x",1)+IF($M$90="x",1)-IF($C$97="x",4,10)
&amp;"/"&amp;SUM($C$3,$I$2)-$C$120+IF($C$75="x",2)+$I$16-$B$10+$M$94+IF($C$77="x",2)-IF($C$78="x",4)-IF($I$78="x",1)-IF($C$79="x",4)+IF($C$80="x",1)-IF($I$77="x",2)-IF($I$90="x",2)+IF($I$83="x",2)-IF($C$83="x",4)-$C$112-5+IF(H329="x",1)+I329+$M$77+IF(H331="x",1)+IF(J331="x",1)+IF($M$76="x",2)+J329+IF($M$85="x",1)+IF($M$113="x",1)+IF($M$120="x",2)+IF($M$119="x",2)+IF($M$105="x",1)+IF($M$110="x",1)+IF($M$111="x",2)+IF($M$112="x",4)+IF($M$108="x",1)-IF($M$109="x",1)-IF($M$99="x",1)+IF($M$90="x",1)-IF($C$97="x",4,10)
&amp;"/"&amp;SUM($C$3,$I$2)-$C$120+IF($C$75="x",2)+$I$16-$B$10+$M$94+IF($C$77="x",2)-IF($C$78="x",4)-IF($I$78="x",1)-IF($C$79="x",4)+IF($C$80="x",1)-IF($I$77="x",2)-IF($I$90="x",2)+IF($I$83="x",2)-IF($C$83="x",4)-$C$112-10+IF(H329="x",1)+I329+$M$77+IF(H331="x",1)+IF(J331="x",1)+IF($M$76="x",2)+J329+IF($M$85="x",1)+IF($M$113="x",1)+IF($M$120="x",2)+IF($M$119="x",2)+IF($M$105="x",1)+IF($M$110="x",1)+IF($M$111="x",2)+IF($M$112="x",4)+IF($M$108="x",1)-IF($M$109="x",1)-IF($M$99="x",1)+IF($M$90="x",1)-IF($C$97="x",4,10)))))</f>
        <v>-10</v>
      </c>
      <c r="C333" s="54" t="str">
        <f>_xlfn.IFS($C$7="Minimaalinen","1",$C$7="Taskukokoinen","1n2",$C$7="Hyvin pieni","1n3",$C$7="Pieni","1n4",$C$7="Keskikokoinen","1n6",$C$7="Iso","1n8",$C$7="Valtava","2n6",$C$7="Suunnaton","3n6",$C$7="Giganttinen","4n6")</f>
        <v>1n6</v>
      </c>
      <c r="D333" s="123">
        <f>INT($I$2/2)+($C$120)+I329+$M$77+IF(I331="x",2)+IF(K331="x",2)+IF($M$119="x",2)+IF($M$108="x",1)+$M$94+K329-IF($M$109="x",1)</f>
        <v>0</v>
      </c>
      <c r="E333" s="54" t="str">
        <f>_xlfn.IFS($C$7="Minimaalinen","4",$C$7="Taskukokoinen","4n2",$C$7="Hyvin pieni","4n3",$C$7="Pieni","4n4",$C$7="Keskikokoinen","4n6",$C$7="Iso","4n8",$C$7="Valtava","8n6",$C$7="Suunnaton","12n6",$C$7="Giganttinen","16n6")</f>
        <v>4n6</v>
      </c>
      <c r="F333" s="124">
        <f>SUM(D333*4)</f>
        <v>0</v>
      </c>
      <c r="G333" s="124" t="str">
        <f>(IF($I$89="x","50 %","")&amp;(IF($C$81="x","20 %",""))&amp;(IF($C$82="x","50 %","")))</f>
        <v/>
      </c>
      <c r="H333" s="40"/>
      <c r="I333" s="138"/>
      <c r="J333" s="131"/>
      <c r="K333" s="135"/>
      <c r="AB333" s="56"/>
      <c r="AC333" s="51"/>
      <c r="AD333" s="49"/>
      <c r="AE333" s="51"/>
      <c r="AF333" s="49"/>
      <c r="AG333" s="40"/>
      <c r="AH333" s="49"/>
      <c r="AI333" s="40"/>
      <c r="AJ333" s="40"/>
      <c r="AK333" s="40"/>
      <c r="AL333" s="40"/>
    </row>
    <row r="334" spans="1:38" x14ac:dyDescent="0.2">
      <c r="B334" s="15"/>
      <c r="C334" s="15"/>
      <c r="D334" s="15"/>
      <c r="F334" s="15"/>
      <c r="G334" s="15"/>
      <c r="H334" s="15"/>
      <c r="I334" s="15"/>
      <c r="AB334" s="56"/>
      <c r="AC334" s="49"/>
      <c r="AD334" s="49"/>
      <c r="AE334" s="51"/>
      <c r="AF334" s="49"/>
      <c r="AG334" s="40"/>
      <c r="AH334" s="49"/>
      <c r="AI334" s="48"/>
    </row>
    <row r="335" spans="1:38" x14ac:dyDescent="0.2">
      <c r="B335" s="15"/>
      <c r="C335" s="15"/>
      <c r="D335" s="15"/>
      <c r="F335" s="15"/>
      <c r="G335" s="15"/>
      <c r="H335" s="15"/>
      <c r="I335" s="15"/>
      <c r="AB335" s="52"/>
      <c r="AC335" s="53"/>
      <c r="AD335" s="54"/>
      <c r="AE335" s="53"/>
      <c r="AF335" s="54"/>
      <c r="AG335" s="54"/>
      <c r="AH335" s="54"/>
      <c r="AI335" s="40"/>
      <c r="AJ335" s="40"/>
      <c r="AL335" s="49"/>
    </row>
    <row r="336" spans="1:38" x14ac:dyDescent="0.2">
      <c r="A336" s="34" t="s">
        <v>300</v>
      </c>
      <c r="B336" s="11" t="s">
        <v>1</v>
      </c>
      <c r="C336" s="11" t="s">
        <v>2</v>
      </c>
      <c r="D336" s="11" t="s">
        <v>3</v>
      </c>
      <c r="E336" s="11" t="s">
        <v>229</v>
      </c>
      <c r="F336" s="11" t="s">
        <v>3</v>
      </c>
      <c r="G336" s="11" t="s">
        <v>45</v>
      </c>
      <c r="H336" s="14" t="s">
        <v>179</v>
      </c>
      <c r="I336" s="130" t="s">
        <v>242</v>
      </c>
      <c r="J336" s="130" t="s">
        <v>224</v>
      </c>
      <c r="K336" s="130" t="s">
        <v>225</v>
      </c>
    </row>
    <row r="337" spans="1:38" x14ac:dyDescent="0.2">
      <c r="A337" s="15" t="s">
        <v>219</v>
      </c>
      <c r="B337" s="12">
        <f>IF($I$85="x","PAINISSA",IF($C$3&lt;=5,SUM($C$3,$I$2)-$C$120+IF($C$75="x",2)+$I$16-$B$10+$M$94+IF($C$77="x",2)-IF($C$78="x",4)-IF($I$78="x",1)-IF($C$79="x",4)+IF($C$80="x",1)-IF($I$77="x",2)-IF($I$90="x",2)+IF($I$83="x",2)-IF($C$75="x",4)-$C$112+IF(H337="x",1)+I337+$M$77+IF(H339="x",1)+IF(J339="x",1)+IF($M$76="x",2)+J337+IF($M$85="x",1)+IF($M$113="x",1)+IF($M$120="x",2)+IF($M$119="x",2)+IF($M$105="x",1)+IF($M$110="x",1)+IF($M$111="x",2)+IF($M$112="x",4)+IF($M$108="x",1)-IF($M$109="x",1)-IF($M$99="x",1)+IF($M$90="x",1),
IF(AND($C$3&gt;5,$C$3&lt;11),SUM($C$3,$I$2)-$C$120+IF($C$75="x",2)+$I$16-$B$10+$M$94+IF($C$77="x",2)-IF($C$78="x",4)-IF($I$78="x",1)-IF($C$79="x",4)+IF($C$80="x",1)-IF($I$77="x",2)-IF($I$90="x",2)+IF($I$83="x",2)-IF($C$83="x",4)-$C$112+IF(H337="x",1)+I337+$M$77+IF(H339="x",1)+IF(J339="x",1)+IF($M$76="x",2)+J337+IF($M$85="x",1)+IF($M$113="x",1)+IF($M$120="x",2)+IF($M$119="x",2)+IF($M$105="x",1)+IF($M$110="x",1)+IF($M$111="x",2)+IF($M$112="x",4)+IF($M$108="x",1)-IF($M$109="x",1)-IF($M$99="x",1)+IF($M$90="x",1)
&amp;"/"&amp;SUM($C$3,$I$2)-$C$120+IF($C$75="x",2)+$I$16-$B$10+$M$94+IF($C$77="x",2)-IF($C$78="x",4)-IF($I$78="x",1)-IF($C$79="x",4)+IF($C$80="x",1)-IF($I$77="x",2)-IF($I$90="x",2)+IF($I$83="x",2)-IF($C$83="x",4)-$C$112-5+IF(H337="x",1)+I337+$M$77+IF(H339="x",1)+IF(J339="x",1)+IF($M$76="x",2)+J337+IF($M$85="x",1)+IF($M$113="x",1)+IF($M$120="x",2)+IF($M$119="x",2)+IF($M$105="x",1)+IF($M$110="x",1)+IF($M$111="x",2)+IF($M$112="x",4)+IF($M$108="x",1)-IF($M$109="x",1)-IF($M$99="x",1)+IF($M$90="x",1),
IF(AND($C$3&gt;10,$C$3&lt;16),SUM($C$3,$I$2)-$C$120+IF($C$75="x",2)+$I$16-$B$10+$M$94+IF($C$77="x",2)-IF($C$78="x",4)-IF($I$78="x",1)-IF($C$79="x",4)+IF($C$80="x",1)-IF($I$77="x",2)-IF($I$90="x",2)+IF($I$83="x",2)-IF($C$83="x",4)-$C$112+IF(H337="x",1)+I337+$M$77+IF(H339="x",1)+IF(J339="x",1)+IF($M$76="x",2)+J337+IF($M$85="x",1)+IF($M$113="x",1)+IF($M$120="x",2)+IF($M$119="x",2)+IF($M$105="x",1)+IF($M$110="x",1)+IF($M$111="x",2)+IF($M$112="x",4)+IF($M$108="x",1)-IF($M$109="x",1)+IF($M$99="x",20)-IF($M$99="x",1)+IF($M$90="x",1)
&amp;"/"&amp;SUM($C$3,$I$2)-$C$120+IF($C$75="x",2)+$I$16-$B$10+$M$94+IF($C$77="x",2)-IF($C$78="x",4)-IF($I$78="x",1)-IF($C$79="x",4)+IF($C$80="x",1)-IF($I$77="x",2)-IF($I$90="x",2)+IF($I$83="x",2)-IF($C$83="x",4)-$C$112-5+IF(H281="x",1)+IF(H337="x",1)+I337+$M$77+IF(H339="x",1)+IF(J339="x",1)+IF($M$76="x",2)+J337+IF($M$85="x",1)+IF($M$113="x",1)+IF($M$120="x",2)+IF($M$119="x",2)+IF($M$105="x",1)+IF($M$110="x",1)+IF($M$111="x",2)+IF($M$112="x",4)+IF($M$108="x",1)-IF($M$109="x",1)-IF($M$99="x",1)+IF($M$90="x",1)
&amp;"/"&amp;SUM($C$3,$I$2)-$C$120+IF($C$75="x",2)+$I$16-$B$10+$M$94+IF($C$77="x",2)-IF($C$78="x",4)-IF($I$78="x",1)-IF($C$79="x",4)+IF($C$80="x",1)-IF($I$77="x",2)-IF($I$90="x",2)+IF($I$83="x",2)-IF($C$83="x",4)-$C$112-10+IF(H281="x",1)+IF(H337="x",1)+I337+$M$77+IF(H339="x",1)+IF(J339="x",1)+IF($M$76="x",2)+J337+IF($M$85="x",1)+IF($M$113="x",1)+IF($M$120="x",2)+IF($M$119="x",2)+IF($M$105="x",1)+IF($M$110="x",1)+IF($M$111="x",2)+IF($M$112="x",4)+IF($M$108="x",1)-IF($M$109="x",1)-IF($M$99="x",1)+IF($M$90="x",1),
IF(AND($C$3&gt;15),SUM($C$3,$I$2)-$C$120+IF($C$75="x",2)+$I$16-$B$10+$M$94+IF($C$77="x",2)-IF($C$78="x",4)-IF($I$78="x",1)-IF($C$79="x",4)+IF($C$80="x",1)-IF($I$77="x",2)-IF($I$90="x",2)+IF($I$83="x",2)-IF($C$83="x",4)-$C$112+IF(H337="x",1)+I337+$M$77+IF(H339="x",1)+IF(J339="x",1)+IF($M$76="x",2)+J337+IF($M$85="x",1)+IF($M$113="x",1)+IF($M$120="x",2)+IF($M$119="x",2)+IF($M$105="x",1)+IF($M$110="x",1)+IF($M$111="x",2)+IF($M$112="x",4)+IF($M$108="x",1)-IF($M$109="x",1)-IF($M$99="x",1)+IF($M$90="x",1)
&amp;"/"&amp;SUM($C$3,$I$2)-$C$120+IF($C$75="x",2)+$I$16-$B$10+$M$94+IF($C$77="x",2)-IF($C$78="x",4)-IF($I$78="x",1)-IF($C$79="x",4)+IF($C$80="x",1)-IF($I$77="x",2)-IF($I$90="x",2)+IF($I$83="x",2)-IF($C$83="x",4)-$C$112-5+IF(H281="x",1)+IF(H337="x",1)+I337+$M$77+IF(H339="x",1)+IF(J339="x",1)+IF($M$76="x",2)+J337+IF($M$85="x",1)+IF($M$113="x",1)+IF($M$120="x",2)+IF($M$119="x",2)+IF($M$105="x",1)+IF($M$110="x",1)+IF($M$111="x",2)+IF($M$112="x",4)+IF($M$108="x",1)-IF($M$109="x",1)-IF($M$99="x",1)+IF($M$90="x",1)
&amp;"/"&amp;SUM($C$3,$I$2)-$C$120+IF($C$75="x",2)+$I$16-$B$10+$M$94+IF($C$77="x",2)-IF($C$78="x",4)-IF($I$78="x",1)-IF($C$79="x",4)+IF($C$80="x",1)-IF($I$77="x",2)-IF($I$90="x",2)+IF($I$83="x",2)-IF($C$83="x",4)-$C$112-10+IF(H281="x",1)+IF(H337="x",1)+I337+$M$77+IF(H339="x",1)+IF(J339="x",1)+IF($M$76="x",2)+J337+IF($M$85="x",1)+IF($M$113="x",1)+IF($M$120="x",2)+IF($M$119="x",2)+IF($M$105="x",1)+IF($M$110="x",1)+IF($M$111="x",2)+IF($M$112="x",4)+IF($M$108="x",1)-IF($M$109="x",1)-IF($M$99="x",1)+IF($M$90="x",1)
&amp;"/"&amp;SUM($C$3,$I$2)-$C$120+IF($C$75="x",2)+$I$16-$B$10+$M$94+IF($C$77="x",2)-IF($C$78="x",4)-IF($I$78="x",1)-IF($C$79="x",4)+IF($C$80="x",1)-IF($I$77="x",2)-IF($I$90="x",2)+IF($I$83="x",2)-IF($C$83="x",4)-$C$112-15+IF(H281="x",1)+IF(H337="x",1)+I337+$M$77+IF(H339="x",1)+IF(J339="x",1)+IF($M$76="x",2)+J337+IF($M$85="x",1)+IF($M$113="x",1)+IF($M$120="x",2)+IF($M$119="x",2)+IF($M$105="x",1)+IF($M$110="x",1)+IF($M$111="x",2)+IF($M$112="x",4)+IF($M$108="x",1)-IF($M$109="x",1)-IF($M$99="x",1)+IF($M$90="x",1))))))</f>
        <v>0</v>
      </c>
      <c r="C337" s="49" t="str">
        <f>_xlfn.IFS($C$7="Minimaalinen","–",$C$7="Taskukokoinen","1",$C$7="Hyvin pieni","1n2",$C$7="Pieni","1n3",$C$7="Keskikokoinen","1n4",$C$7="Iso","1n6",$C$7="Valtava","1n8",$C$7="Suunnaton","2n6",$C$7="Giganttinen","3n6")</f>
        <v>1n4</v>
      </c>
      <c r="D337" s="18">
        <f>SUM($I$2+$C$120)+I337+$M$77+IF(I339="x",2)+IF(K339="x",2)+IF($M$119="x",2)+IF($M$108="x",1)+$M$94-IF($M$109="x",1)+K337</f>
        <v>0</v>
      </c>
      <c r="E337" s="49" t="str">
        <f>_xlfn.IFS($C$7="Minimaalinen","–",$C$7="Taskukokoinen","2",$C$7="Hyvin pieni","2n2",$C$7="Pieni","2n3",$C$7="Keskikokoinen","2n4",$C$7="Iso","2n6",$C$7="Valtava","2n8",$C$7="Suunnaton","4n6",$C$7="Giganttinen","6n6")</f>
        <v>2n4</v>
      </c>
      <c r="F337" s="12">
        <f>SUM(D337*2)</f>
        <v>0</v>
      </c>
      <c r="G337" s="12" t="str">
        <f>(IF($I$89="x","50 %","")&amp;(IF($C$81="x","20 %",""))&amp;(IF($C$82="x","50 %","")))</f>
        <v/>
      </c>
      <c r="H337" s="28"/>
      <c r="I337" s="17">
        <v>0</v>
      </c>
      <c r="J337" s="17">
        <v>0</v>
      </c>
      <c r="K337" s="17">
        <v>0</v>
      </c>
    </row>
    <row r="338" spans="1:38" x14ac:dyDescent="0.2">
      <c r="A338" s="58" t="s">
        <v>8</v>
      </c>
      <c r="B338" s="119">
        <f>IF($I$85="x","PAINISSA",IF($C$3&lt;=5,SUM($C$3,$I$2)-$C$120+IF($C$75="x",2)+$I$16-$B$10+$M$94+IF($C$77="x",2)-IF($C$78="x",4)-IF($I$78="x",1)-IF($C$79="x",4)+IF($C$80="x",1)-IF($I$77="x",2)-IF($I$90="x",2)+IF($I$83="x",2)-IF($C$75="x",4)-$C$112+IF(H337="x",1)+I337+$M$77+IF(H339="x",1)+IF(J339="x",1)+IF($M$76="x",2)+J337+IF($M$85="x",1)+IF($M$113="x",1)+IF($M$120="x",2)+IF($M$119="x",2)+IF($M$105="x",1)+IF($M$110="x",1)+IF($M$111="x",2)+IF($M$112="x",4)+IF($M$108="x",1)-IF($M$109="x",1)-IF($M$99="x",1)+IF($M$90="x",1),
IF(AND($C$3&gt;5,$C$3&lt;11),SUM($C$3,$I$2)-$C$120+IF($C$75="x",2)+$I$16-$B$10+$M$94+IF($C$77="x",2)-IF($C$78="x",4)-IF($I$78="x",1)-IF($C$79="x",4)+IF($C$80="x",1)-IF($I$77="x",2)-IF($I$90="x",2)+IF($I$83="x",2)-IF($C$83="x",4)-$C$112+IF(H337="x",1)+I337+$M$77+IF(H339="x",1)+IF(J339="x",1)+IF($M$76="x",2)+J337+IF($M$85="x",1)+IF($M$113="x",1)+IF($M$120="x",2)+IF($M$119="x",2)+IF($M$105="x",1)+IF($M$110="x",1)+IF($M$111="x",2)+IF($M$112="x",4)+IF($M$108="x",1)-IF($M$109="x",1)-IF($M$99="x",1)+IF($M$90="x",1)
&amp;"/"&amp;SUM($C$3,$I$2)-$C$120+IF($C$75="x",2)+$I$16-$B$10+$M$94+IF($C$77="x",2)-IF($C$78="x",4)-IF($I$78="x",1)-IF($C$79="x",4)+IF($C$80="x",1)-IF($I$77="x",2)-IF($I$90="x",2)+IF($I$83="x",2)-IF($C$83="x",4)-$C$112-5+IF(H337="x",1)+I337+$M$77+IF(H339="x",1)+IF(J339="x",1)+IF($M$76="x",2)+J337+IF($M$85="x",1)+IF($M$113="x",1)+IF($M$120="x",2)+IF($M$119="x",2)+IF($M$105="x",1)+IF($M$110="x",1)+IF($M$111="x",2)+IF($M$112="x",4)+IF($M$108="x",1)-IF($M$109="x",1)-IF($M$99="x",1)+IF($M$90="x",1),
IF(AND($C$3&gt;10,$C$3&lt;16),SUM($C$3,$I$2)-$C$120+IF($C$75="x",2)+$I$16-$B$10+$M$94+IF($C$77="x",2)-IF($C$78="x",4)-IF($I$78="x",1)-IF($C$79="x",4)+IF($C$80="x",1)-IF($I$77="x",2)-IF($I$90="x",2)+IF($I$83="x",2)-IF($C$83="x",4)-$C$112+IF(H337="x",1)+I337+$M$77+IF(H339="x",1)+IF(J339="x",1)+IF($M$76="x",2)+J337+IF($M$85="x",1)+IF($M$113="x",1)+IF($M$120="x",2)+IF($M$119="x",2)+IF($M$105="x",1)+IF($M$110="x",1)+IF($M$111="x",2)+IF($M$112="x",4)+IF($M$108="x",1)-IF($M$109="x",1)+IF($M$99="x",20)-IF($M$99="x",1)+IF($M$90="x",1)
&amp;"/"&amp;SUM($C$3,$I$2)-$C$120+IF($C$75="x",2)+$I$16-$B$10+$M$94+IF($C$77="x",2)-IF($C$78="x",4)-IF($I$78="x",1)-IF($C$79="x",4)+IF($C$80="x",1)-IF($I$77="x",2)-IF($I$90="x",2)+IF($I$83="x",2)-IF($C$83="x",4)-$C$112-5+IF(H281="x",1)+IF(H337="x",1)+I337+$M$77+IF(H339="x",1)+IF(J339="x",1)+IF($M$76="x",2)+J337+IF($M$85="x",1)+IF($M$113="x",1)+IF($M$120="x",2)+IF($M$119="x",2)+IF($M$105="x",1)+IF($M$110="x",1)+IF($M$111="x",2)+IF($M$112="x",4)+IF($M$108="x",1)-IF($M$109="x",1)-IF($M$99="x",1)+IF($M$90="x",1)
&amp;"/"&amp;SUM($C$3,$I$2)-$C$120+IF($C$75="x",2)+$I$16-$B$10+$M$94+IF($C$77="x",2)-IF($C$78="x",4)-IF($I$78="x",1)-IF($C$79="x",4)+IF($C$80="x",1)-IF($I$77="x",2)-IF($I$90="x",2)+IF($I$83="x",2)-IF($C$83="x",4)-$C$112-10+IF(H281="x",1)+IF(H337="x",1)+I337+$M$77+IF(H339="x",1)+IF(J339="x",1)+IF($M$76="x",2)+J337+IF($M$85="x",1)+IF($M$113="x",1)+IF($M$120="x",2)+IF($M$119="x",2)+IF($M$105="x",1)+IF($M$110="x",1)+IF($M$111="x",2)+IF($M$112="x",4)+IF($M$108="x",1)-IF($M$109="x",1)-IF($M$99="x",1)+IF($M$90="x",1),
IF(AND($C$3&gt;15),SUM($C$3,$I$2)-$C$120+IF($C$75="x",2)+$I$16-$B$10+$M$94+IF($C$77="x",2)-IF($C$78="x",4)-IF($I$78="x",1)-IF($C$79="x",4)+IF($C$80="x",1)-IF($I$77="x",2)-IF($I$90="x",2)+IF($I$83="x",2)-IF($C$83="x",4)-$C$112+IF(H337="x",1)+I337+$M$77+IF(H339="x",1)+IF(J339="x",1)+IF($M$76="x",2)+J337+IF($M$85="x",1)+IF($M$113="x",1)+IF($M$120="x",2)+IF($M$119="x",2)+IF($M$105="x",1)+IF($M$110="x",1)+IF($M$111="x",2)+IF($M$112="x",4)+IF($M$108="x",1)-IF($M$109="x",1)-IF($M$99="x",1)+IF($M$90="x",1)
&amp;"/"&amp;SUM($C$3,$I$2)-$C$120+IF($C$75="x",2)+$I$16-$B$10+$M$94+IF($C$77="x",2)-IF($C$78="x",4)-IF($I$78="x",1)-IF($C$79="x",4)+IF($C$80="x",1)-IF($I$77="x",2)-IF($I$90="x",2)+IF($I$83="x",2)-IF($C$83="x",4)-$C$112-5+IF(H281="x",1)+IF(H337="x",1)+I337+$M$77+IF(H339="x",1)+IF(J339="x",1)+IF($M$76="x",2)+J337+IF($M$85="x",1)+IF($M$113="x",1)+IF($M$120="x",2)+IF($M$119="x",2)+IF($M$105="x",1)+IF($M$110="x",1)+IF($M$111="x",2)+IF($M$112="x",4)+IF($M$108="x",1)-IF($M$109="x",1)-IF($M$99="x",1)+IF($M$90="x",1)
&amp;"/"&amp;SUM($C$3,$I$2)-$C$120+IF($C$75="x",2)+$I$16-$B$10+$M$94+IF($C$77="x",2)-IF($C$78="x",4)-IF($I$78="x",1)-IF($C$79="x",4)+IF($C$80="x",1)-IF($I$77="x",2)-IF($I$90="x",2)+IF($I$83="x",2)-IF($C$83="x",4)-$C$112-10+IF(H281="x",1)+IF(H337="x",1)+I337+$M$77+IF(H339="x",1)+IF(J339="x",1)+IF($M$76="x",2)+J337+IF($M$85="x",1)+IF($M$113="x",1)+IF($M$120="x",2)+IF($M$119="x",2)+IF($M$105="x",1)+IF($M$110="x",1)+IF($M$111="x",2)+IF($M$112="x",4)+IF($M$108="x",1)-IF($M$109="x",1)-IF($M$99="x",1)+IF($M$90="x",1)
&amp;"/"&amp;SUM($C$3,$I$2)-$C$120+IF($C$75="x",2)+$I$16-$B$10+$M$94+IF($C$77="x",2)-IF($C$78="x",4)-IF($I$78="x",1)-IF($C$79="x",4)+IF($C$80="x",1)-IF($I$77="x",2)-IF($I$90="x",2)+IF($I$83="x",2)-IF($C$83="x",4)-$C$112-15+IF(H281="x",1)+IF(H337="x",1)+I337+$M$77+IF(H339="x",1)+IF(J339="x",1)+IF($M$76="x",2)+J337+IF($M$85="x",1)+IF($M$113="x",1)+IF($M$120="x",2)+IF($M$119="x",2)+IF($M$105="x",1)+IF($M$110="x",1)+IF($M$111="x",2)+IF($M$112="x",4)+IF($M$108="x",1)-IF($M$109="x",1)-IF($M$99="x",1)+IF($M$90="x",1))))))</f>
        <v>0</v>
      </c>
      <c r="C338" s="49" t="str">
        <f>_xlfn.IFS($C$7="Minimaalinen","–",$C$7="Taskukokoinen","1",$C$7="Hyvin pieni","1n2",$C$7="Pieni","1n3",$C$7="Keskikokoinen","1n4",$C$7="Iso","1n6",$C$7="Valtava","1n8",$C$7="Suunnaton","2n6",$C$7="Giganttinen","3n6")</f>
        <v>1n4</v>
      </c>
      <c r="D338" s="119">
        <f>IF($I$2&lt;0,$I$2,INT($I$2*1.5))+($C$120*2)+I337+$M$77+IF(I339="x",2)+IF(K339="x",2)+IF($M$119="x",2)+IF($M$108="x",1)+$M$94-IF($M$109="x",1)+K337</f>
        <v>0</v>
      </c>
      <c r="E338" s="49" t="str">
        <f>_xlfn.IFS($C$7="Minimaalinen","–",$C$7="Taskukokoinen","2",$C$7="Hyvin pieni","2n2",$C$7="Pieni","2n3",$C$7="Keskikokoinen","2n4",$C$7="Iso","2n6",$C$7="Valtava","2n8",$C$7="Suunnaton","4n6",$C$7="Giganttinen","6n6")</f>
        <v>2n4</v>
      </c>
      <c r="F338" s="120">
        <f>SUM(D338*2)</f>
        <v>0</v>
      </c>
      <c r="G338" s="120" t="str">
        <f>(IF($I$89="x","50 %","")&amp;(IF($C$81="x","20 %",""))&amp;(IF($C$82="x","50 %","")))</f>
        <v/>
      </c>
      <c r="H338" s="14" t="s">
        <v>220</v>
      </c>
      <c r="I338" s="14" t="s">
        <v>221</v>
      </c>
      <c r="J338" s="14" t="s">
        <v>222</v>
      </c>
      <c r="K338" s="14" t="s">
        <v>223</v>
      </c>
      <c r="AB338" s="46"/>
      <c r="AC338" s="50"/>
      <c r="AD338" s="50"/>
      <c r="AE338" s="50"/>
      <c r="AF338" s="50"/>
      <c r="AG338" s="50"/>
      <c r="AH338" s="50"/>
      <c r="AI338" s="50"/>
      <c r="AJ338" s="50"/>
      <c r="AK338" s="50"/>
      <c r="AL338" s="50"/>
    </row>
    <row r="339" spans="1:38" x14ac:dyDescent="0.2">
      <c r="A339" s="25" t="s">
        <v>438</v>
      </c>
      <c r="B339" s="121">
        <f>IF($I$85="x","PAINISSA",IF($C$3&lt;=5,SUM($C$3,$I$2)-$C$120+IF($C$75="x",2)+$I$16-$B$10+$M$94+IF($C$77="x",2)-IF($C$78="x",4)-IF($I$78="x",1)-IF($C$79="x",4)+IF($C$80="x",1)-IF($I$77="x",2)-IF($I$90="x",2)+IF($I$83="x",2)-IF($C$75="x",4)-$C$112+IF(H337="x",1)+I337+$M$77+IF(H339="x",1)+IF(J339="x",1)+IF($M$76="x",2)+J337+IF($M$85="x",1)+IF($M$113="x",1)+IF($M$120="x",2)+IF($M$119="x",2)+IF($M$105="x",1)+IF($M$110="x",1)+IF($M$111="x",2)+IF($M$112="x",4)+IF($M$108="x",1)-IF($M$109="x",1)-IF($M$99="x",1)+IF($M$90="x",1)-IF($C$97="x",2,4),
IF(AND($C$3&gt;5,$C$3&lt;11),SUM($C$3,$I$2)-$C$120+IF($C$75="x",2)+$I$16-$B$10+$M$94+IF($C$77="x",2)-IF($C$78="x",4)-IF($I$78="x",1)-IF($C$79="x",4)+IF($C$80="x",1)-IF($I$77="x",2)-IF($I$90="x",2)+IF($I$83="x",2)-IF($C$83="x",4)-$C$112+IF(H337="x",1)+I337+$M$77+IF(H339="x",1)+IF(J339="x",1)+IF($M$76="x",2)+J337+IF($M$85="x",1)+IF($M$113="x",1)+IF($M$120="x",2)+IF($M$119="x",2)+IF($M$105="x",1)+IF($M$110="x",1)+IF($M$111="x",2)+IF($M$112="x",4)+IF($M$108="x",1)-IF($M$109="x",1)-IF($M$99="x",1)+IF($M$90="x",1)-IF($C$97="x",2,4)
&amp;"/"&amp;SUM($C$3,$I$2)-$C$120+IF($C$75="x",2)+$I$16-$B$10+$M$94+IF($C$77="x",2)-IF($C$78="x",4)-IF($I$78="x",1)-IF($C$79="x",4)+IF($C$80="x",1)-IF($I$77="x",2)-IF($I$90="x",2)+IF($I$83="x",2)-IF($C$83="x",4)-$C$112-5+IF(H337="x",1)+I337+$M$77+IF(H339="x",1)+IF(J339="x",1)+IF($M$76="x",2)+J337+IF($M$85="x",1)+IF($M$113="x",1)+IF($M$120="x",2)+IF($M$119="x",2)+IF($M$105="x",1)+IF($M$110="x",1)+IF($M$111="x",2)+IF($M$112="x",4)+IF($M$108="x",1)-IF($M$109="x",1)-IF($M$99="x",1)+IF($M$90="x",1)-IF($C$97="x",2,4),
IF(AND($C$3&gt;10,$C$3&lt;16),SUM($C$3,$I$2)-$C$120+IF($C$75="x",2)+$I$16-$B$10+$M$94+IF($C$77="x",2)-IF($C$78="x",4)-IF($I$78="x",1)-IF($C$79="x",4)+IF($C$80="x",1)-IF($I$77="x",2)-IF($I$90="x",2)+IF($I$83="x",2)-IF($C$83="x",4)-$C$112+IF(H337="x",1)+I337+$M$77+IF(H339="x",1)+IF(J339="x",1)+IF($M$76="x",2)+J337+IF($M$85="x",1)+IF($M$113="x",1)+IF($M$120="x",2)+IF($M$119="x",2)+IF($M$105="x",1)+IF($M$110="x",1)+IF($M$111="x",2)+IF($M$112="x",4)+IF($M$108="x",1)-IF($M$109="x",1)+IF($M$99="x",20)-IF($M$99="x",1)+IF($M$90="x",1)-IF($C$97="x",2,4)
&amp;"/"&amp;SUM($C$3,$I$2)-$C$120+IF($C$75="x",2)+$I$16-$B$10+$M$94+IF($C$77="x",2)-IF($C$78="x",4)-IF($I$78="x",1)-IF($C$79="x",4)+IF($C$80="x",1)-IF($I$77="x",2)-IF($I$90="x",2)+IF($I$83="x",2)-IF($C$83="x",4)-$C$112-5+IF(H281="x",1)+IF(H337="x",1)+I337+$M$77+IF(H339="x",1)+IF(J339="x",1)+IF($M$76="x",2)+J337+IF($M$85="x",1)+IF($M$113="x",1)+IF($M$120="x",2)+IF($M$119="x",2)+IF($M$105="x",1)+IF($M$110="x",1)+IF($M$111="x",2)+IF($M$112="x",4)+IF($M$108="x",1)-IF($M$109="x",1)-IF($M$99="x",1)+IF($M$90="x",1)-IF($C$97="x",2,4)
&amp;"/"&amp;SUM($C$3,$I$2)-$C$120+IF($C$75="x",2)+$I$16-$B$10+$M$94+IF($C$77="x",2)-IF($C$78="x",4)-IF($I$78="x",1)-IF($C$79="x",4)+IF($C$80="x",1)-IF($I$77="x",2)-IF($I$90="x",2)+IF($I$83="x",2)-IF($C$83="x",4)-$C$112-10+IF(H281="x",1)+IF(H337="x",1)+I337+$M$77+IF(H339="x",1)+IF(J339="x",1)+IF($M$76="x",2)+J337+IF($M$85="x",1)+IF($M$113="x",1)+IF($M$120="x",2)+IF($M$119="x",2)+IF($M$105="x",1)+IF($M$110="x",1)+IF($M$111="x",2)+IF($M$112="x",4)+IF($M$108="x",1)-IF($M$109="x",1)-IF($M$99="x",1)+IF($M$90="x",1)-IF($C$97="x",2,4),
IF(AND($C$3&gt;15),SUM($C$3,$I$2)-$C$120+IF($C$75="x",2)+$I$16-$B$10+$M$94+IF($C$77="x",2)-IF($C$78="x",4)-IF($I$78="x",1)-IF($C$79="x",4)+IF($C$80="x",1)-IF($I$77="x",2)-IF($I$90="x",2)+IF($I$83="x",2)-IF($C$83="x",4)-$C$112+IF(H337="x",1)+I337+$M$77+IF(H339="x",1)+IF(J339="x",1)+IF($M$76="x",2)+J337+IF($M$85="x",1)+IF($M$113="x",1)+IF($M$120="x",2)+IF($M$119="x",2)+IF($M$105="x",1)+IF($M$110="x",1)+IF($M$111="x",2)+IF($M$112="x",4)+IF($M$108="x",1)-IF($M$109="x",1)-IF($M$99="x",1)+IF($M$90="x",1)-IF($C$97="x",2,4)
&amp;"/"&amp;SUM($C$3,$I$2)-$C$120+IF($C$75="x",2)+$I$16-$B$10+$M$94+IF($C$77="x",2)-IF($C$78="x",4)-IF($I$78="x",1)-IF($C$79="x",4)+IF($C$80="x",1)-IF($I$77="x",2)-IF($I$90="x",2)+IF($I$83="x",2)-IF($C$83="x",4)-$C$112-5+IF(H281="x",1)+IF(H337="x",1)+I337+$M$77+IF(H339="x",1)+IF(J339="x",1)+IF($M$76="x",2)+J337+IF($M$85="x",1)+IF($M$113="x",1)+IF($M$120="x",2)+IF($M$119="x",2)+IF($M$105="x",1)+IF($M$110="x",1)+IF($M$111="x",2)+IF($M$112="x",4)+IF($M$108="x",1)-IF($M$109="x",1)-IF($M$99="x",1)+IF($M$90="x",1)-IF($C$97="x",2,4)
&amp;"/"&amp;SUM($C$3,$I$2)-$C$120+IF($C$75="x",2)+$I$16-$B$10+$M$94+IF($C$77="x",2)-IF($C$78="x",4)-IF($I$78="x",1)-IF($C$79="x",4)+IF($C$80="x",1)-IF($I$77="x",2)-IF($I$90="x",2)+IF($I$83="x",2)-IF($C$83="x",4)-$C$112-10+IF(H281="x",1)+IF(H337="x",1)+I337+$M$77+IF(H339="x",1)+IF(J339="x",1)+IF($M$76="x",2)+J337+IF($M$85="x",1)+IF($M$113="x",1)+IF($M$120="x",2)+IF($M$119="x",2)+IF($M$105="x",1)+IF($M$110="x",1)+IF($M$111="x",2)+IF($M$112="x",4)+IF($M$108="x",1)-IF($M$109="x",1)-IF($M$99="x",1)+IF($M$90="x",1)-IF($C$97="x",2,4)
&amp;"/"&amp;SUM($C$3,$I$2)-$C$120+IF($C$75="x",2)+$I$16-$B$10+$M$94+IF($C$77="x",2)-IF($C$78="x",4)-IF($I$78="x",1)-IF($C$79="x",4)+IF($C$80="x",1)-IF($I$77="x",2)-IF($I$90="x",2)+IF($I$83="x",2)-IF($C$83="x",4)-$C$112-15+IF(H281="x",1)+IF(H337="x",1)+I337+$M$77+IF(H339="x",1)+IF(J339="x",1)+IF($M$76="x",2)+J337+IF($M$85="x",1)+IF($M$113="x",1)+IF($M$120="x",2)+IF($M$119="x",2)+IF($M$105="x",1)+IF($M$110="x",1)+IF($M$111="x",2)+IF($M$112="x",4)+IF($M$108="x",1)-IF($M$109="x",1)-IF($M$99="x",1)+IF($M$90="x",1)-IF($C$97="x",2,4))))))</f>
        <v>-4</v>
      </c>
      <c r="C339" s="49" t="str">
        <f>_xlfn.IFS($C$7="Minimaalinen","–",$C$7="Taskukokoinen","1",$C$7="Hyvin pieni","1n2",$C$7="Pieni","1n3",$C$7="Keskikokoinen","1n4",$C$7="Iso","1n6",$C$7="Valtava","1n8",$C$7="Suunnaton","2n6",$C$7="Giganttinen","3n6")</f>
        <v>1n4</v>
      </c>
      <c r="D339" s="121">
        <f>SUM($I$2+$C$120)+I337+$M$77+IF(I339="x",2)+IF(K339="x",2)+IF($M$119="x",2)+IF($M$108="x",1)+$M$94-IF($M$109="x",1)+K337</f>
        <v>0</v>
      </c>
      <c r="E339" s="49" t="str">
        <f>_xlfn.IFS($C$7="Minimaalinen","–",$C$7="Taskukokoinen","2",$C$7="Hyvin pieni","2n2",$C$7="Pieni","2n3",$C$7="Keskikokoinen","2n4",$C$7="Iso","2n6",$C$7="Valtava","2n8",$C$7="Suunnaton","4n6",$C$7="Giganttinen","6n6")</f>
        <v>2n4</v>
      </c>
      <c r="F339" s="82">
        <f>SUM(D339*2)</f>
        <v>0</v>
      </c>
      <c r="G339" s="82" t="str">
        <f>(IF($I$89="x","50 %","")&amp;(IF($C$81="x","20 %",""))&amp;(IF($C$82="x","50 %","")))</f>
        <v/>
      </c>
      <c r="H339" s="28"/>
      <c r="I339" s="28"/>
      <c r="J339" s="28"/>
      <c r="K339" s="28"/>
      <c r="AB339" s="46"/>
      <c r="AC339" s="48"/>
      <c r="AD339" s="48"/>
      <c r="AE339" s="48"/>
      <c r="AF339" s="48"/>
      <c r="AG339" s="48"/>
      <c r="AH339" s="48"/>
      <c r="AI339" s="48"/>
      <c r="AJ339" s="48"/>
      <c r="AK339" s="48"/>
      <c r="AL339" s="48"/>
    </row>
    <row r="340" spans="1:38" x14ac:dyDescent="0.2">
      <c r="A340" s="25" t="s">
        <v>437</v>
      </c>
      <c r="B340" s="82">
        <f>IF($I$85="x","PAINISSA",IF($C$3&lt;=5,SUM($C$3,$I$2)-$C$120+IF($C$75="x",2)+$I$16-$B$10+$M$94+IF($C$77="x",2)-IF($C$78="x",4)-IF($I$78="x",1)-IF($C$79="x",4)+IF($C$80="x",1)-IF($I$77="x",2)-IF($I$90="x",2)+IF($I$83="x",2)-IF($C$75="x",4)-$C$112+IF(H337="x",1)+I337+$M$77+IF(H339="x",1)+IF(J339="x",1)+IF($M$76="x",2)+J337+IF($M$85="x",1)+IF($M$113="x",1)+IF($M$120="x",2)+IF($M$119="x",2)+IF($M$105="x",1)+IF($M$110="x",1)+IF($M$111="x",2)+IF($M$112="x",4)+IF($M$108="x",1)-IF($M$109="x",1)-IF($M$99="x",1)+IF($M$90="x",1)-IF($C$97="x",4,6),
IF(AND($C$3&gt;5,$C$3&lt;11),SUM($C$3,$I$2)-$C$120+IF($C$75="x",2)+$I$16-$B$10+$M$94+IF($C$77="x",2)-IF($C$78="x",4)-IF($I$78="x",1)-IF($C$79="x",4)+IF($C$80="x",1)-IF($I$77="x",2)-IF($I$90="x",2)+IF($I$83="x",2)-IF($C$83="x",4)-$C$112+IF(H337="x",1)+I337+$M$77+IF(H339="x",1)+IF(J339="x",1)+IF($M$76="x",2)+J337+IF($M$85="x",1)+IF($M$113="x",1)+IF($M$120="x",2)+IF($M$119="x",2)+IF($M$105="x",1)+IF($M$110="x",1)+IF($M$111="x",2)+IF($M$112="x",4)+IF($M$108="x",1)-IF($M$109="x",1)-IF($M$99="x",1)+IF($M$90="x",1)-IF($C$97="x",4,6)
&amp;"/"&amp;SUM($C$3,$I$2)-$C$120+IF($C$75="x",2)+$I$16-$B$10+$M$94+IF($C$77="x",2)-IF($C$78="x",4)-IF($I$78="x",1)-IF($C$79="x",4)+IF($C$80="x",1)-IF($I$77="x",2)-IF($I$90="x",2)+IF($I$83="x",2)-IF($C$83="x",4)-$C$112-5+IF(H337="x",1)+I337+$M$77+IF(H339="x",1)+IF(J339="x",1)+IF($M$76="x",2)+J337+IF($M$85="x",1)+IF($M$113="x",1)+IF($M$120="x",2)+IF($M$119="x",2)+IF($M$105="x",1)+IF($M$110="x",1)+IF($M$111="x",2)+IF($M$112="x",4)+IF($M$108="x",1)-IF($M$109="x",1)-IF($M$99="x",1)+IF($M$90="x",1)-IF($C$97="x",4,6),
IF(AND($C$3&gt;10,$C$3&lt;16),SUM($C$3,$I$2)-$C$120+IF($C$75="x",2)+$I$16-$B$10+$M$94+IF($C$77="x",2)-IF($C$78="x",4)-IF($I$78="x",1)-IF($C$79="x",4)+IF($C$80="x",1)-IF($I$77="x",2)-IF($I$90="x",2)+IF($I$83="x",2)-IF($C$83="x",4)-$C$112+IF(H337="x",1)+I337+$M$77+IF(H339="x",1)+IF(J339="x",1)+IF($M$76="x",2)+J337+IF($M$85="x",1)+IF($M$113="x",1)+IF($M$120="x",2)+IF($M$119="x",2)+IF($M$105="x",1)+IF($M$110="x",1)+IF($M$111="x",2)+IF($M$112="x",4)+IF($M$108="x",1)-IF($M$109="x",1)+IF($M$99="x",20)-IF($M$99="x",1)+IF($M$90="x",1)-IF($C$97="x",4,6)
&amp;"/"&amp;SUM($C$3,$I$2)-$C$120+IF($C$75="x",2)+$I$16-$B$10+$M$94+IF($C$77="x",2)-IF($C$78="x",4)-IF($I$78="x",1)-IF($C$79="x",4)+IF($C$80="x",1)-IF($I$77="x",2)-IF($I$90="x",2)+IF($I$83="x",2)-IF($C$83="x",4)-$C$112-5+IF(H281="x",1)+IF(H337="x",1)+I337+$M$77+IF(H339="x",1)+IF(J339="x",1)+IF($M$76="x",2)+J337+IF($M$85="x",1)+IF($M$113="x",1)+IF($M$120="x",2)+IF($M$119="x",2)+IF($M$105="x",1)+IF($M$110="x",1)+IF($M$111="x",2)+IF($M$112="x",4)+IF($M$108="x",1)-IF($M$109="x",1)-IF($M$99="x",1)+IF($M$90="x",1)-IF($C$97="x",4,6)
&amp;"/"&amp;SUM($C$3,$I$2)-$C$120+IF($C$75="x",2)+$I$16-$B$10+$M$94+IF($C$77="x",2)-IF($C$78="x",4)-IF($I$78="x",1)-IF($C$79="x",4)+IF($C$80="x",1)-IF($I$77="x",2)-IF($I$90="x",2)+IF($I$83="x",2)-IF($C$83="x",4)-$C$112-10+IF(H281="x",1)+IF(H337="x",1)+I337+$M$77+IF(H339="x",1)+IF(J339="x",1)+IF($M$76="x",2)+J337+IF($M$85="x",1)+IF($M$113="x",1)+IF($M$120="x",2)+IF($M$119="x",2)+IF($M$105="x",1)+IF($M$110="x",1)+IF($M$111="x",2)+IF($M$112="x",4)+IF($M$108="x",1)-IF($M$109="x",1)-IF($M$99="x",1)+IF($M$90="x",1)-IF($C$97="x",4,6),
IF(AND($C$3&gt;15),SUM($C$3,$I$2)-$C$120+IF($C$75="x",2)+$I$16-$B$10+$M$94+IF($C$77="x",2)-IF($C$78="x",4)-IF($I$78="x",1)-IF($C$79="x",4)+IF($C$80="x",1)-IF($I$77="x",2)-IF($I$90="x",2)+IF($I$83="x",2)-IF($C$83="x",4)-$C$112+IF(H337="x",1)+I337+$M$77+IF(H339="x",1)+IF(J339="x",1)+IF($M$76="x",2)+J337+IF($M$85="x",1)+IF($M$113="x",1)+IF($M$120="x",2)+IF($M$119="x",2)+IF($M$105="x",1)+IF($M$110="x",1)+IF($M$111="x",2)+IF($M$112="x",4)+IF($M$108="x",1)-IF($M$109="x",1)-IF($M$99="x",1)+IF($M$90="x",1)-IF($C$97="x",4,6)
&amp;"/"&amp;SUM($C$3,$I$2)-$C$120+IF($C$75="x",2)+$I$16-$B$10+$M$94+IF($C$77="x",2)-IF($C$78="x",4)-IF($I$78="x",1)-IF($C$79="x",4)+IF($C$80="x",1)-IF($I$77="x",2)-IF($I$90="x",2)+IF($I$83="x",2)-IF($C$83="x",4)-$C$112-5+IF(H281="x",1)+IF(H337="x",1)+I337+$M$77+IF(H339="x",1)+IF(J339="x",1)+IF($M$76="x",2)+J337+IF($M$85="x",1)+IF($M$113="x",1)+IF($M$120="x",2)+IF($M$119="x",2)+IF($M$105="x",1)+IF($M$110="x",1)+IF($M$111="x",2)+IF($M$112="x",4)+IF($M$108="x",1)-IF($M$109="x",1)-IF($M$99="x",1)+IF($M$90="x",1)-IF($C$97="x",4,6)
&amp;"/"&amp;SUM($C$3,$I$2)-$C$120+IF($C$75="x",2)+$I$16-$B$10+$M$94+IF($C$77="x",2)-IF($C$78="x",4)-IF($I$78="x",1)-IF($C$79="x",4)+IF($C$80="x",1)-IF($I$77="x",2)-IF($I$90="x",2)+IF($I$83="x",2)-IF($C$83="x",4)-$C$112-10+IF(H281="x",1)+IF(H337="x",1)+I337+$M$77+IF(H339="x",1)+IF(J339="x",1)+IF($M$76="x",2)+J337+IF($M$85="x",1)+IF($M$113="x",1)+IF($M$120="x",2)+IF($M$119="x",2)+IF($M$105="x",1)+IF($M$110="x",1)+IF($M$111="x",2)+IF($M$112="x",4)+IF($M$108="x",1)-IF($M$109="x",1)-IF($M$99="x",1)+IF($M$90="x",1)-IF($C$97="x",4,6)
&amp;"/"&amp;SUM($C$3,$I$2)-$C$120+IF($C$75="x",2)+$I$16-$B$10+$M$94+IF($C$77="x",2)-IF($C$78="x",4)-IF($I$78="x",1)-IF($C$79="x",4)+IF($C$80="x",1)-IF($I$77="x",2)-IF($I$90="x",2)+IF($I$83="x",2)-IF($C$83="x",4)-$C$112-15+IF(H281="x",1)+IF(H337="x",1)+I337+$M$77+IF(H339="x",1)+IF(J339="x",1)+IF($M$76="x",2)+J337+IF($M$85="x",1)+IF($M$113="x",1)+IF($M$120="x",2)+IF($M$119="x",2)+IF($M$105="x",1)+IF($M$110="x",1)+IF($M$111="x",2)+IF($M$112="x",4)+IF($M$108="x",1)-IF($M$109="x",1)-IF($M$99="x",1)+IF($M$90="x",1)-IF($C$97="x",4,6))))))</f>
        <v>-6</v>
      </c>
      <c r="C340" s="49" t="str">
        <f>_xlfn.IFS($C$7="Minimaalinen","–",$C$7="Taskukokoinen","1",$C$7="Hyvin pieni","1n2",$C$7="Pieni","1n3",$C$7="Keskikokoinen","1n4",$C$7="Iso","1n6",$C$7="Valtava","1n8",$C$7="Suunnaton","2n6",$C$7="Giganttinen","3n6")</f>
        <v>1n4</v>
      </c>
      <c r="D340" s="121">
        <f>SUM($I$2+$C$120)+I337+$M$77+IF(I339="x",2)+IF(K339="x",2)+IF($M$119="x",2)+IF($M$108="x",1)+$M$94-IF($M$109="x",1)+K337</f>
        <v>0</v>
      </c>
      <c r="E340" s="49" t="str">
        <f>_xlfn.IFS($C$7="Minimaalinen","–",$C$7="Taskukokoinen","2",$C$7="Hyvin pieni","2n2",$C$7="Pieni","2n3",$C$7="Keskikokoinen","2n4",$C$7="Iso","2n6",$C$7="Valtava","2n8",$C$7="Suunnaton","4n6",$C$7="Giganttinen","6n6")</f>
        <v>2n4</v>
      </c>
      <c r="F340" s="82">
        <f>SUM(D340*2)</f>
        <v>0</v>
      </c>
      <c r="G340" s="82" t="str">
        <f>(IF($I$89="x","50 %","")&amp;(IF($C$81="x","20 %",""))&amp;(IF($C$82="x","50 %","")))</f>
        <v/>
      </c>
      <c r="H340" s="48"/>
      <c r="I340" s="15"/>
      <c r="AC340" s="41"/>
      <c r="AD340" s="40"/>
      <c r="AE340" s="41"/>
      <c r="AF340" s="40"/>
      <c r="AG340" s="40"/>
      <c r="AH340" s="40"/>
      <c r="AI340" s="40"/>
      <c r="AJ340" s="40"/>
      <c r="AK340" s="40"/>
      <c r="AL340" s="40"/>
    </row>
    <row r="341" spans="1:38" x14ac:dyDescent="0.2">
      <c r="A341" s="122" t="s">
        <v>436</v>
      </c>
      <c r="B341" s="123">
        <f>IF($I$85="x","PAINISSA",IF(AND($C$90="",$C$118=""),SUM($C$3,$I$2)-$C$120+IF($C$75="x",2)+$I$16-$B$10+$M$94+IF($C$77="x",2)-IF($C$78="x",4)-IF($I$78="x",1)-IF($C$79="x",4)+IF($C$80="x",1)-IF($I$77="x",2)-IF($I$90="x",2)+IF($I$83="x",2)-IF($C$75="x",4)-$C$112+IF(H337="x",1)+I337+$M$77+IF(H339="x",1)+IF(J339="x",1)+IF($M$76="x",2)+J337+IF($M$85="x",1)+IF($M$113="x",1)+IF($M$120="x",2)+IF($M$119="x",2)+IF($M$105="x",1)+IF($M$110="x",1)+IF($M$111="x",2)+IF($M$112="x",4)+IF($M$108="x",1)-IF($M$109="x",1)-IF($M$99="x",1)+IF($M$90="x",1)-IF($C$97="x",4,10),
IF(AND($C$90="x",$C$118=""),SUM($C$3,$I$2)-$C$120+IF($C$75="x",2)+$I$16-$B$10+$M$94+IF($C$77="x",2)-IF($C$78="x",4)-IF($I$78="x",1)-IF($C$79="x",4)+IF($C$80="x",1)-IF($I$77="x",2)-IF($I$90="x",2)+IF($I$83="x",2)-IF($C$83="x",4)-$C$112+IF(H337="x",1)+I337+$M$77+IF(H339="x",1)+IF(J339="x",1)+IF($M$76="x",2)+J337+IF($M$85="x",1)+IF($M$113="x",1)+IF($M$120="x",2)+IF($M$119="x",2)+IF($M$105="x",1)+IF($M$110="x",1)+IF($M$111="x",2)+IF($M$112="x",4)+IF($M$108="x",1)-IF($M$109="x",1)-IF($M$99="x",1)+IF($M$90="x",1)-IF($C$97="x",4,10)
&amp;"/"&amp;SUM($C$3,$I$2)-$C$120+IF($C$75="x",2)+$I$16-$B$10+$M$94+IF($C$77="x",2)-IF($C$78="x",4)-IF($I$78="x",1)-IF($C$79="x",4)+IF($C$80="x",1)-IF($I$77="x",2)-IF($I$90="x",2)+IF($I$83="x",2)-IF($C$83="x",4)-$C$112+IF(H337="x",1)+I337+$M$77+IF(H339="x",1)+IF(J339="x",1)+IF($M$76="x",2)+J337+IF($M$85="x",1)+IF($M$113="x",1)+IF($M$120="x",2)+IF($M$119="x",2)+IF($M$105="x",1)+IF($M$110="x",1)+IF($M$111="x",2)+IF($M$112="x",4)+IF($M$108="x",1)-IF($M$109="x",1)-IF($M$99="x",1)+IF($M$90="x",1)-IF($C$97="x",4,10)-5,
IF(AND($C$90="x",$C$118="x"),SUM($C$3,$I$2)-$C$120+IF($C$75="x",2)+$I$16-$B$10+$M$94+IF($C$77="x",2)-IF($C$78="x",4)-IF($I$78="x",1)-IF($C$79="x",4)+IF($C$80="x",1)-IF($I$77="x",2)-IF($I$90="x",2)+IF($I$83="x",2)-IF($C$83="x",4)-$C$112+IF(H337="x",1)+I337+$M$77+IF(H339="x",1)+IF(J339="x",1)+IF($M$76="x",2)+J337+IF($M$85="x",1)+IF($M$113="x",1)+IF($M$120="x",2)+IF($M$119="x",2)+IF($M$105="x",1)+IF($M$110="x",1)+IF($M$111="x",2)+IF($M$112="x",4)+IF($M$108="x",1)-IF($M$109="x",1)+IF($M$99="x",20)-IF($M$99="x",1)+IF($M$90="x",1)-IF($C$97="x",4,10)
&amp;"/"&amp;SUM($C$3,$I$2)-$C$120+IF($C$75="x",2)+$I$16-$B$10+$M$94+IF($C$77="x",2)-IF($C$78="x",4)-IF($I$78="x",1)-IF($C$79="x",4)+IF($C$80="x",1)-IF($I$77="x",2)-IF($I$90="x",2)+IF($I$83="x",2)-IF($C$83="x",4)-$C$112-5+IF(H337="x",1)+I337+$M$77+IF(H339="x",1)+IF(J339="x",1)+IF($M$76="x",2)+J337+IF($M$85="x",1)+IF($M$113="x",1)+IF($M$120="x",2)+IF($M$119="x",2)+IF($M$105="x",1)+IF($M$110="x",1)+IF($M$111="x",2)+IF($M$112="x",4)+IF($M$108="x",1)-IF($M$109="x",1)-IF($M$99="x",1)+IF($M$90="x",1)-IF($C$97="x",4,10)
&amp;"/"&amp;SUM($C$3,$I$2)-$C$120+IF($C$75="x",2)+$I$16-$B$10+$M$94+IF($C$77="x",2)-IF($C$78="x",4)-IF($I$78="x",1)-IF($C$79="x",4)+IF($C$80="x",1)-IF($I$77="x",2)-IF($I$90="x",2)+IF($I$83="x",2)-IF($C$83="x",4)-$C$112-10+IF(H337="x",1)+I337+$M$77+IF(H339="x",1)+IF(J339="x",1)+IF($M$76="x",2)+J337+IF($M$85="x",1)+IF($M$113="x",1)+IF($M$120="x",2)+IF($M$119="x",2)+IF($M$105="x",1)+IF($M$110="x",1)+IF($M$111="x",2)+IF($M$112="x",4)+IF($M$108="x",1)-IF($M$109="x",1)-IF($M$99="x",1)+IF($M$90="x",1)-IF($C$97="x",4,10)))))</f>
        <v>-10</v>
      </c>
      <c r="C341" s="54" t="str">
        <f>_xlfn.IFS($C$7="Minimaalinen","–",$C$7="Taskukokoinen","1",$C$7="Hyvin pieni","1n2",$C$7="Pieni","1n3",$C$7="Keskikokoinen","1n4",$C$7="Iso","1n6",$C$7="Valtava","1n8",$C$7="Suunnaton","2n6",$C$7="Giganttinen","3n6")</f>
        <v>1n4</v>
      </c>
      <c r="D341" s="123">
        <f>INT($I$2/2)+($C$120)+I337+$M$77+IF(I339="x",2)+IF(K339="x",2)+IF($M$119="x",2)+IF($M$108="x",1)+$M$94+K337-IF($M$109="x",1)</f>
        <v>0</v>
      </c>
      <c r="E341" s="54" t="str">
        <f>_xlfn.IFS($C$7="Minimaalinen","–",$C$7="Taskukokoinen","2",$C$7="Hyvin pieni","2n2",$C$7="Pieni","2n3",$C$7="Keskikokoinen","2n4",$C$7="Iso","2n6",$C$7="Valtava","2n8",$C$7="Suunnaton","4n6",$C$7="Giganttinen","6n6")</f>
        <v>2n4</v>
      </c>
      <c r="F341" s="124">
        <f>SUM(D341*2)</f>
        <v>0</v>
      </c>
      <c r="G341" s="124" t="str">
        <f>(IF($I$89="x","50 %","")&amp;(IF($C$81="x","20 %",""))&amp;(IF($C$82="x","50 %","")))</f>
        <v/>
      </c>
      <c r="H341" s="40"/>
      <c r="K341" s="82"/>
      <c r="AB341" s="50"/>
      <c r="AC341" s="51"/>
      <c r="AD341" s="40"/>
      <c r="AE341" s="51"/>
      <c r="AF341" s="40"/>
      <c r="AG341" s="49"/>
      <c r="AH341" s="49"/>
      <c r="AI341" s="48"/>
      <c r="AJ341" s="48"/>
      <c r="AK341" s="48"/>
      <c r="AL341" s="48"/>
    </row>
    <row r="342" spans="1:38" x14ac:dyDescent="0.2">
      <c r="B342" s="15"/>
      <c r="C342" s="15"/>
      <c r="D342" s="15"/>
      <c r="F342" s="15"/>
      <c r="G342" s="15"/>
      <c r="H342" s="15"/>
      <c r="I342" s="15"/>
      <c r="AB342" s="52"/>
      <c r="AC342" s="53"/>
      <c r="AD342" s="54"/>
      <c r="AE342" s="53"/>
      <c r="AF342" s="54"/>
      <c r="AG342" s="54"/>
      <c r="AH342" s="53"/>
      <c r="AI342" s="40"/>
      <c r="AJ342" s="40"/>
      <c r="AK342" s="40"/>
      <c r="AL342" s="40"/>
    </row>
    <row r="343" spans="1:38" x14ac:dyDescent="0.2">
      <c r="B343" s="15"/>
      <c r="C343" s="15"/>
      <c r="D343" s="15"/>
      <c r="F343" s="15"/>
      <c r="G343" s="15"/>
      <c r="H343" s="15"/>
      <c r="I343" s="15"/>
      <c r="AB343" s="65"/>
      <c r="AC343" s="140"/>
      <c r="AD343" s="67"/>
      <c r="AE343" s="140"/>
      <c r="AF343" s="67"/>
      <c r="AG343" s="67"/>
      <c r="AH343" s="67"/>
      <c r="AI343" s="67"/>
      <c r="AJ343" s="40"/>
    </row>
    <row r="344" spans="1:38" x14ac:dyDescent="0.2">
      <c r="A344" s="34" t="s">
        <v>302</v>
      </c>
      <c r="B344" s="130" t="s">
        <v>1</v>
      </c>
      <c r="C344" s="130" t="s">
        <v>2</v>
      </c>
      <c r="D344" s="130" t="s">
        <v>3</v>
      </c>
      <c r="E344" s="130" t="s">
        <v>229</v>
      </c>
      <c r="F344" s="130" t="s">
        <v>3</v>
      </c>
      <c r="G344" s="130" t="s">
        <v>45</v>
      </c>
      <c r="H344" s="14" t="s">
        <v>179</v>
      </c>
      <c r="I344" s="130" t="s">
        <v>242</v>
      </c>
      <c r="J344" s="130" t="s">
        <v>224</v>
      </c>
      <c r="K344" s="130" t="s">
        <v>225</v>
      </c>
      <c r="AB344" s="65"/>
      <c r="AC344" s="65"/>
      <c r="AD344" s="65"/>
      <c r="AE344" s="65"/>
      <c r="AF344" s="65"/>
      <c r="AG344" s="65"/>
      <c r="AH344" s="65"/>
      <c r="AI344" s="65"/>
      <c r="AJ344" s="65"/>
      <c r="AK344" s="65"/>
      <c r="AL344" s="65"/>
    </row>
    <row r="345" spans="1:38" x14ac:dyDescent="0.2">
      <c r="A345" s="15" t="s">
        <v>219</v>
      </c>
      <c r="B345" s="12">
        <f>IF($I$85="x","PAINISSA",IF($C$3&lt;=5,SUM($C$3,$I$2)-$C$120+IF($C$75="x",2)+$I$16-$B$10+$M$94+IF($C$77="x",2)-IF($C$78="x",4)-IF($I$78="x",1)-IF($C$79="x",4)+IF($C$80="x",1)-IF($I$77="x",2)-IF($I$90="x",2)+IF($I$83="x",2)-IF($C$75="x",4)-$C$112+IF(H345="x",1)+I345+$M$77+IF(H347="x",1)+IF(J347="x",1)+IF($M$76="x",2)+J345+IF($M$85="x",1)+IF($M$113="x",1)+IF($M$120="x",2)+IF($M$119="x",2)+IF($M$105="x",1)+IF($M$110="x",1)+IF($M$111="x",2)+IF($M$112="x",4)+IF($M$108="x",1)-IF($M$109="x",1)-IF($M$99="x",1)+IF($M$90="x",1),
IF(AND($C$3&gt;5,$C$3&lt;11),SUM($C$3,$I$2)-$C$120+IF($C$75="x",2)+$I$16-$B$10+$M$94+IF($C$77="x",2)-IF($C$78="x",4)-IF($I$78="x",1)-IF($C$79="x",4)+IF($C$80="x",1)-IF($I$77="x",2)-IF($I$90="x",2)+IF($I$83="x",2)-IF($C$83="x",4)-$C$112+IF(H345="x",1)+I345+$M$77+IF(H347="x",1)+IF(J347="x",1)+IF($M$76="x",2)+J345+IF($M$85="x",1)+IF($M$113="x",1)+IF($M$120="x",2)+IF($M$119="x",2)+IF($M$105="x",1)+IF($M$110="x",1)+IF($M$111="x",2)+IF($M$112="x",4)+IF($M$108="x",1)-IF($M$109="x",1)-IF($M$99="x",1)+IF($M$90="x",1)
&amp;"/"&amp;SUM($C$3,$I$2)-$C$120+IF($C$75="x",2)+$I$16-$B$10+$M$94+IF($C$77="x",2)-IF($C$78="x",4)-IF($I$78="x",1)-IF($C$79="x",4)+IF($C$80="x",1)-IF($I$77="x",2)-IF($I$90="x",2)+IF($I$83="x",2)-IF($C$83="x",4)-$C$112-5+IF(H345="x",1)+I345+$M$77+IF(H347="x",1)+IF(J347="x",1)+IF($M$76="x",2)+J345+IF($M$85="x",1)+IF($M$113="x",1)+IF($M$120="x",2)+IF($M$119="x",2)+IF($M$105="x",1)+IF($M$110="x",1)+IF($M$111="x",2)+IF($M$112="x",4)+IF($M$108="x",1)-IF($M$109="x",1)-IF($M$99="x",1)+IF($M$90="x",1),
IF(AND($C$3&gt;10,$C$3&lt;16),SUM($C$3,$I$2)-$C$120+IF($C$75="x",2)+$I$16-$B$10+$M$94+IF($C$77="x",2)-IF($C$78="x",4)-IF($I$78="x",1)-IF($C$79="x",4)+IF($C$80="x",1)-IF($I$77="x",2)-IF($I$90="x",2)+IF($I$83="x",2)-IF($C$83="x",4)-$C$112+IF(H345="x",1)+I345+$M$77+IF(H347="x",1)+IF(J347="x",1)+IF($M$76="x",2)+J345+IF($M$85="x",1)+IF($M$113="x",1)+IF($M$120="x",2)+IF($M$119="x",2)+IF($M$105="x",1)+IF($M$110="x",1)+IF($M$111="x",2)+IF($M$112="x",4)+IF($M$108="x",1)-IF($M$109="x",1)+IF($M$99="x",20)-IF($M$99="x",1)+IF($M$90="x",1)
&amp;"/"&amp;SUM($C$3,$I$2)-$C$120+IF($C$75="x",2)+$I$16-$B$10+$M$94+IF($C$77="x",2)-IF($C$78="x",4)-IF($I$78="x",1)-IF($C$79="x",4)+IF($C$80="x",1)-IF($I$77="x",2)-IF($I$90="x",2)+IF($I$83="x",2)-IF($C$83="x",4)-$C$112-5+IF(H661="x",1)+IF(H345="x",1)+I345+$M$77+IF(H347="x",1)+IF(J347="x",1)+IF($M$76="x",2)+J345+IF($M$85="x",1)+IF($M$113="x",1)+IF($M$120="x",2)+IF($M$119="x",2)+IF($M$105="x",1)+IF($M$110="x",1)+IF($M$111="x",2)+IF($M$112="x",4)+IF($M$108="x",1)-IF($M$109="x",1)-IF($M$99="x",1)+IF($M$90="x",1)
&amp;"/"&amp;SUM($C$3,$I$2)-$C$120+IF($C$75="x",2)+$I$16-$B$10+$M$94+IF($C$77="x",2)-IF($C$78="x",4)-IF($I$78="x",1)-IF($C$79="x",4)+IF($C$80="x",1)-IF($I$77="x",2)-IF($I$90="x",2)+IF($I$83="x",2)-IF($C$83="x",4)-$C$112-10+IF(H661="x",1)+IF(H345="x",1)+I345+$M$77+IF(H347="x",1)+IF(J347="x",1)+IF($M$76="x",2)+J345+IF($M$85="x",1)+IF($M$113="x",1)+IF($M$120="x",2)+IF($M$119="x",2)+IF($M$105="x",1)+IF($M$110="x",1)+IF($M$111="x",2)+IF($M$112="x",4)+IF($M$108="x",1)-IF($M$109="x",1)-IF($M$99="x",1)+IF($M$90="x",1),
IF(AND($C$3&gt;15),SUM($C$3,$I$2)-$C$120+IF($C$75="x",2)+$I$16-$B$10+$M$94+IF($C$77="x",2)-IF($C$78="x",4)-IF($I$78="x",1)-IF($C$79="x",4)+IF($C$80="x",1)-IF($I$77="x",2)-IF($I$90="x",2)+IF($I$83="x",2)-IF($C$83="x",4)-$C$112+IF(H345="x",1)+I345+$M$77+IF(H347="x",1)+IF(J347="x",1)+IF($M$76="x",2)+J345+IF($M$85="x",1)+IF($M$113="x",1)+IF($M$120="x",2)+IF($M$119="x",2)+IF($M$105="x",1)+IF($M$110="x",1)+IF($M$111="x",2)+IF($M$112="x",4)+IF($M$108="x",1)-IF($M$109="x",1)-IF($M$99="x",1)+IF($M$90="x",1)
&amp;"/"&amp;SUM($C$3,$I$2)-$C$120+IF($C$75="x",2)+$I$16-$B$10+$M$94+IF($C$77="x",2)-IF($C$78="x",4)-IF($I$78="x",1)-IF($C$79="x",4)+IF($C$80="x",1)-IF($I$77="x",2)-IF($I$90="x",2)+IF($I$83="x",2)-IF($C$83="x",4)-$C$112-5+IF(H661="x",1)+IF(H345="x",1)+I345+$M$77+IF(H347="x",1)+IF(J347="x",1)+IF($M$76="x",2)+J345+IF($M$85="x",1)+IF($M$113="x",1)+IF($M$120="x",2)+IF($M$119="x",2)+IF($M$105="x",1)+IF($M$110="x",1)+IF($M$111="x",2)+IF($M$112="x",4)+IF($M$108="x",1)-IF($M$109="x",1)-IF($M$99="x",1)+IF($M$90="x",1)
&amp;"/"&amp;SUM($C$3,$I$2)-$C$120+IF($C$75="x",2)+$I$16-$B$10+$M$94+IF($C$77="x",2)-IF($C$78="x",4)-IF($I$78="x",1)-IF($C$79="x",4)+IF($C$80="x",1)-IF($I$77="x",2)-IF($I$90="x",2)+IF($I$83="x",2)-IF($C$83="x",4)-$C$112-10+IF(H661="x",1)+IF(H345="x",1)+I345+$M$77+IF(H347="x",1)+IF(J347="x",1)+IF($M$76="x",2)+J345+IF($M$85="x",1)+IF($M$113="x",1)+IF($M$120="x",2)+IF($M$119="x",2)+IF($M$105="x",1)+IF($M$110="x",1)+IF($M$111="x",2)+IF($M$112="x",4)+IF($M$108="x",1)-IF($M$109="x",1)-IF($M$99="x",1)+IF($M$90="x",1)
&amp;"/"&amp;SUM($C$3,$I$2)-$C$120+IF($C$75="x",2)+$I$16-$B$10+$M$94+IF($C$77="x",2)-IF($C$78="x",4)-IF($I$78="x",1)-IF($C$79="x",4)+IF($C$80="x",1)-IF($I$77="x",2)-IF($I$90="x",2)+IF($I$83="x",2)-IF($C$83="x",4)-$C$112-15+IF(H661="x",1)+IF(H345="x",1)+I345+$M$77+IF(H347="x",1)+IF(J347="x",1)+IF($M$76="x",2)+J345+IF($M$85="x",1)+IF($M$113="x",1)+IF($M$120="x",2)+IF($M$119="x",2)+IF($M$105="x",1)+IF($M$110="x",1)+IF($M$111="x",2)+IF($M$112="x",4)+IF($M$108="x",1)-IF($M$109="x",1)-IF($M$99="x",1)+IF($M$90="x",1))))))</f>
        <v>0</v>
      </c>
      <c r="C345" s="49" t="str">
        <f>_xlfn.IFS($C$7="Minimaalinen","1",$C$7="Taskukokoinen","1n2",$C$7="Hyvin pieni","1n3",$C$7="Pieni","1n4",$C$7="Keskikokoinen","1n6",$C$7="Iso","1n8",$C$7="Valtava","2n6",$C$7="Suunnaton","3n6",$C$7="Giganttinen","4n6")</f>
        <v>1n6</v>
      </c>
      <c r="D345" s="18">
        <f>SUM($I$2+$C$120)+I345+$M$77+IF(I347="x",2)+IF(K347="x",2)+IF($M$119="x",2)+IF($M$108="x",1)+$M$94-IF($M$109="x",1)+K345</f>
        <v>0</v>
      </c>
      <c r="E345" s="49" t="str">
        <f>_xlfn.IFS($C$7="Minimaalinen","2",$C$7="Taskukokoinen","2n2",$C$7="Hyvin pieni","2n3",$C$7="Pieni","2n4",$C$7="Keskikokoinen","2n6",$C$7="Iso","2n8",$C$7="Valtava","4n6",$C$7="Suunnaton","6n6",$C$7="Giganttinen","8n6")</f>
        <v>2n6</v>
      </c>
      <c r="F345" s="12">
        <f>SUM(D345*2)</f>
        <v>0</v>
      </c>
      <c r="G345" s="12" t="str">
        <f>(IF($I$89="x","50 %","")&amp;(IF($C$81="x","20 %",""))&amp;(IF($C$82="x","50 %","")))</f>
        <v/>
      </c>
      <c r="H345" s="28"/>
      <c r="I345" s="17">
        <v>0</v>
      </c>
      <c r="J345" s="17">
        <v>0</v>
      </c>
      <c r="K345" s="17">
        <v>0</v>
      </c>
      <c r="AB345" s="46"/>
      <c r="AC345" s="48"/>
      <c r="AD345" s="48"/>
      <c r="AE345" s="48"/>
      <c r="AF345" s="48"/>
      <c r="AG345" s="48"/>
      <c r="AH345" s="48"/>
      <c r="AI345" s="48"/>
      <c r="AJ345" s="48"/>
      <c r="AK345" s="48"/>
      <c r="AL345" s="48"/>
    </row>
    <row r="346" spans="1:38" x14ac:dyDescent="0.2">
      <c r="A346" s="58" t="s">
        <v>8</v>
      </c>
      <c r="B346" s="119">
        <f>IF($I$85="x","PAINISSA",IF($C$3&lt;=5,SUM($C$3,$I$2)-$C$120+IF($C$75="x",2)+$I$16-$B$10+$M$94+IF($C$77="x",2)-IF($C$78="x",4)-IF($I$78="x",1)-IF($C$79="x",4)+IF($C$80="x",1)-IF($I$77="x",2)-IF($I$90="x",2)+IF($I$83="x",2)-IF($C$75="x",4)-$C$112+IF(H345="x",1)+I345+$M$77+IF(H347="x",1)+IF(J347="x",1)+IF($M$76="x",2)+J345+IF($M$85="x",1)+IF($M$113="x",1)+IF($M$120="x",2)+IF($M$119="x",2)+IF($M$105="x",1)+IF($M$110="x",1)+IF($M$111="x",2)+IF($M$112="x",4)+IF($M$108="x",1)-IF($M$109="x",1)-IF($M$99="x",1)+IF($M$90="x",1),
IF(AND($C$3&gt;5,$C$3&lt;11),SUM($C$3,$I$2)-$C$120+IF($C$75="x",2)+$I$16-$B$10+$M$94+IF($C$77="x",2)-IF($C$78="x",4)-IF($I$78="x",1)-IF($C$79="x",4)+IF($C$80="x",1)-IF($I$77="x",2)-IF($I$90="x",2)+IF($I$83="x",2)-IF($C$83="x",4)-$C$112+IF(H345="x",1)+I345+$M$77+IF(H347="x",1)+IF(J347="x",1)+IF($M$76="x",2)+J345+IF($M$85="x",1)+IF($M$113="x",1)+IF($M$120="x",2)+IF($M$119="x",2)+IF($M$105="x",1)+IF($M$110="x",1)+IF($M$111="x",2)+IF($M$112="x",4)+IF($M$108="x",1)-IF($M$109="x",1)-IF($M$99="x",1)+IF($M$90="x",1)
&amp;"/"&amp;SUM($C$3,$I$2)-$C$120+IF($C$75="x",2)+$I$16-$B$10+$M$94+IF($C$77="x",2)-IF($C$78="x",4)-IF($I$78="x",1)-IF($C$79="x",4)+IF($C$80="x",1)-IF($I$77="x",2)-IF($I$90="x",2)+IF($I$83="x",2)-IF($C$83="x",4)-$C$112-5+IF(H345="x",1)+I345+$M$77+IF(H347="x",1)+IF(J347="x",1)+IF($M$76="x",2)+J345+IF($M$85="x",1)+IF($M$113="x",1)+IF($M$120="x",2)+IF($M$119="x",2)+IF($M$105="x",1)+IF($M$110="x",1)+IF($M$111="x",2)+IF($M$112="x",4)+IF($M$108="x",1)-IF($M$109="x",1)-IF($M$99="x",1)+IF($M$90="x",1),
IF(AND($C$3&gt;10,$C$3&lt;16),SUM($C$3,$I$2)-$C$120+IF($C$75="x",2)+$I$16-$B$10+$M$94+IF($C$77="x",2)-IF($C$78="x",4)-IF($I$78="x",1)-IF($C$79="x",4)+IF($C$80="x",1)-IF($I$77="x",2)-IF($I$90="x",2)+IF($I$83="x",2)-IF($C$83="x",4)-$C$112+IF(H345="x",1)+I345+$M$77+IF(H347="x",1)+IF(J347="x",1)+IF($M$76="x",2)+J345+IF($M$85="x",1)+IF($M$113="x",1)+IF($M$120="x",2)+IF($M$119="x",2)+IF($M$105="x",1)+IF($M$110="x",1)+IF($M$111="x",2)+IF($M$112="x",4)+IF($M$108="x",1)-IF($M$109="x",1)+IF($M$99="x",20)-IF($M$99="x",1)+IF($M$90="x",1)
&amp;"/"&amp;SUM($C$3,$I$2)-$C$120+IF($C$75="x",2)+$I$16-$B$10+$M$94+IF($C$77="x",2)-IF($C$78="x",4)-IF($I$78="x",1)-IF($C$79="x",4)+IF($C$80="x",1)-IF($I$77="x",2)-IF($I$90="x",2)+IF($I$83="x",2)-IF($C$83="x",4)-$C$112-5+IF(H675="x",1)+IF(H345="x",1)+I345+$M$77+IF(H347="x",1)+IF(J347="x",1)+IF($M$76="x",2)+J345+IF($M$85="x",1)+IF($M$113="x",1)+IF($M$120="x",2)+IF($M$119="x",2)+IF($M$105="x",1)+IF($M$110="x",1)+IF($M$111="x",2)+IF($M$112="x",4)+IF($M$108="x",1)-IF($M$109="x",1)-IF($M$99="x",1)+IF($M$90="x",1)
&amp;"/"&amp;SUM($C$3,$I$2)-$C$120+IF($C$75="x",2)+$I$16-$B$10+$M$94+IF($C$77="x",2)-IF($C$78="x",4)-IF($I$78="x",1)-IF($C$79="x",4)+IF($C$80="x",1)-IF($I$77="x",2)-IF($I$90="x",2)+IF($I$83="x",2)-IF($C$83="x",4)-$C$112-10+IF(H675="x",1)+IF(H345="x",1)+I345+$M$77+IF(H347="x",1)+IF(J347="x",1)+IF($M$76="x",2)+J345+IF($M$85="x",1)+IF($M$113="x",1)+IF($M$120="x",2)+IF($M$119="x",2)+IF($M$105="x",1)+IF($M$110="x",1)+IF($M$111="x",2)+IF($M$112="x",4)+IF($M$108="x",1)-IF($M$109="x",1)-IF($M$99="x",1)+IF($M$90="x",1),
IF(AND($C$3&gt;15),SUM($C$3,$I$2)-$C$120+IF($C$75="x",2)+$I$16-$B$10+$M$94+IF($C$77="x",2)-IF($C$78="x",4)-IF($I$78="x",1)-IF($C$79="x",4)+IF($C$80="x",1)-IF($I$77="x",2)-IF($I$90="x",2)+IF($I$83="x",2)-IF($C$83="x",4)-$C$112+IF(H345="x",1)+I345+$M$77+IF(H347="x",1)+IF(J347="x",1)+IF($M$76="x",2)+J345+IF($M$85="x",1)+IF($M$113="x",1)+IF($M$120="x",2)+IF($M$119="x",2)+IF($M$105="x",1)+IF($M$110="x",1)+IF($M$111="x",2)+IF($M$112="x",4)+IF($M$108="x",1)-IF($M$109="x",1)-IF($M$99="x",1)+IF($M$90="x",1)
&amp;"/"&amp;SUM($C$3,$I$2)-$C$120+IF($C$75="x",2)+$I$16-$B$10+$M$94+IF($C$77="x",2)-IF($C$78="x",4)-IF($I$78="x",1)-IF($C$79="x",4)+IF($C$80="x",1)-IF($I$77="x",2)-IF($I$90="x",2)+IF($I$83="x",2)-IF($C$83="x",4)-$C$112-5+IF(H675="x",1)+IF(H345="x",1)+I345+$M$77+IF(H347="x",1)+IF(J347="x",1)+IF($M$76="x",2)+J345+IF($M$85="x",1)+IF($M$113="x",1)+IF($M$120="x",2)+IF($M$119="x",2)+IF($M$105="x",1)+IF($M$110="x",1)+IF($M$111="x",2)+IF($M$112="x",4)+IF($M$108="x",1)-IF($M$109="x",1)-IF($M$99="x",1)+IF($M$90="x",1)
&amp;"/"&amp;SUM($C$3,$I$2)-$C$120+IF($C$75="x",2)+$I$16-$B$10+$M$94+IF($C$77="x",2)-IF($C$78="x",4)-IF($I$78="x",1)-IF($C$79="x",4)+IF($C$80="x",1)-IF($I$77="x",2)-IF($I$90="x",2)+IF($I$83="x",2)-IF($C$83="x",4)-$C$112-10+IF(H675="x",1)+IF(H345="x",1)+I345+$M$77+IF(H347="x",1)+IF(J347="x",1)+IF($M$76="x",2)+J345+IF($M$85="x",1)+IF($M$113="x",1)+IF($M$120="x",2)+IF($M$119="x",2)+IF($M$105="x",1)+IF($M$110="x",1)+IF($M$111="x",2)+IF($M$112="x",4)+IF($M$108="x",1)-IF($M$109="x",1)-IF($M$99="x",1)+IF($M$90="x",1)
&amp;"/"&amp;SUM($C$3,$I$2)-$C$120+IF($C$75="x",2)+$I$16-$B$10+$M$94+IF($C$77="x",2)-IF($C$78="x",4)-IF($I$78="x",1)-IF($C$79="x",4)+IF($C$80="x",1)-IF($I$77="x",2)-IF($I$90="x",2)+IF($I$83="x",2)-IF($C$83="x",4)-$C$112-15+IF(H675="x",1)+IF(H345="x",1)+I345+$M$77+IF(H347="x",1)+IF(J347="x",1)+IF($M$76="x",2)+J345+IF($M$85="x",1)+IF($M$113="x",1)+IF($M$120="x",2)+IF($M$119="x",2)+IF($M$105="x",1)+IF($M$110="x",1)+IF($M$111="x",2)+IF($M$112="x",4)+IF($M$108="x",1)-IF($M$109="x",1)-IF($M$99="x",1)+IF($M$90="x",1))))))</f>
        <v>0</v>
      </c>
      <c r="C346" s="114" t="str">
        <f>_xlfn.IFS($C$7="Minimaalinen","1",$C$7="Taskukokoinen","1n2",$C$7="Hyvin pieni","1n3",$C$7="Pieni","1n4",$C$7="Keskikokoinen","1n6",$C$7="Iso","1n8",$C$7="Valtava","2n6",$C$7="Suunnaton","3n6",$C$7="Giganttinen","4n6")</f>
        <v>1n6</v>
      </c>
      <c r="D346" s="119">
        <f>IF($I$2&lt;0,$I$2,INT($I$2*1.5))+($C$120*2)+I345+$M$77+IF(I347="x",2)+IF(K347="x",2)+IF($M$119="x",2)+IF($M$108="x",1)+$M$94-IF($M$109="x",1)+K345</f>
        <v>0</v>
      </c>
      <c r="E346" s="114" t="str">
        <f>_xlfn.IFS($C$7="Minimaalinen","2",$C$7="Taskukokoinen","2n2",$C$7="Hyvin pieni","2n3",$C$7="Pieni","2n4",$C$7="Keskikokoinen","2n6",$C$7="Iso","2n8",$C$7="Valtava","4n6",$C$7="Suunnaton","6n6",$C$7="Giganttinen","8n6")</f>
        <v>2n6</v>
      </c>
      <c r="F346" s="120">
        <f>SUM(D346*2)</f>
        <v>0</v>
      </c>
      <c r="G346" s="120" t="str">
        <f>(IF($I$89="x","50 %","")&amp;(IF($C$81="x","20 %",""))&amp;(IF($C$82="x","50 %","")))</f>
        <v/>
      </c>
      <c r="H346" s="14" t="s">
        <v>220</v>
      </c>
      <c r="I346" s="14" t="s">
        <v>221</v>
      </c>
      <c r="J346" s="14" t="s">
        <v>222</v>
      </c>
      <c r="K346" s="14" t="s">
        <v>223</v>
      </c>
      <c r="AC346" s="41"/>
      <c r="AD346" s="49"/>
      <c r="AE346" s="41"/>
      <c r="AF346" s="49"/>
      <c r="AG346" s="40"/>
      <c r="AH346" s="40"/>
      <c r="AI346" s="40"/>
      <c r="AJ346" s="40"/>
      <c r="AK346" s="40"/>
      <c r="AL346" s="40"/>
    </row>
    <row r="347" spans="1:38" x14ac:dyDescent="0.2">
      <c r="A347" s="133" t="s">
        <v>438</v>
      </c>
      <c r="B347" s="121">
        <f>IF($I$85="x","PAINISSA",IF($C$3&lt;=5,SUM($C$3,$I$2)-$C$120+IF($C$75="x",2)+$I$16-$B$10+$M$94+IF($C$77="x",2)-IF($C$78="x",4)-IF($I$78="x",1)-IF($C$79="x",4)+IF($C$80="x",1)-IF($I$77="x",2)-IF($I$90="x",2)+IF($I$83="x",2)-IF($C$75="x",4)-$C$112+IF(H345="x",1)+I345+$M$77+IF(H347="x",1)+IF(J347="x",1)+IF($M$76="x",2)+J345+IF($M$85="x",1)+IF($M$113="x",1)+IF($M$120="x",2)+IF($M$119="x",2)+IF($M$105="x",1)+IF($M$110="x",1)+IF($M$111="x",2)+IF($M$112="x",4)+IF($M$108="x",1)-IF($M$109="x",1)-IF($M$99="x",1)+IF($M$90="x",1)-IF($C$97="x",2,4),
IF(AND($C$3&gt;5,$C$3&lt;11),SUM($C$3,$I$2)-$C$120+IF($C$75="x",2)+$I$16-$B$10+$M$94+IF($C$77="x",2)-IF($C$78="x",4)-IF($I$78="x",1)-IF($C$79="x",4)+IF($C$80="x",1)-IF($I$77="x",2)-IF($I$90="x",2)+IF($I$83="x",2)-IF($C$83="x",4)-$C$112+IF(H345="x",1)+I345+$M$77+IF(H347="x",1)+IF(J347="x",1)+IF($M$76="x",2)+J345+IF($M$85="x",1)+IF($M$113="x",1)+IF($M$120="x",2)+IF($M$119="x",2)+IF($M$105="x",1)+IF($M$110="x",1)+IF($M$111="x",2)+IF($M$112="x",4)+IF($M$108="x",1)-IF($M$109="x",1)-IF($M$99="x",1)+IF($M$90="x",1)-IF($C$97="x",2,4)
&amp;"/"&amp;SUM($C$3,$I$2)-$C$120+IF($C$75="x",2)+$I$16-$B$10+$M$94+IF($C$77="x",2)-IF($C$78="x",4)-IF($I$78="x",1)-IF($C$79="x",4)+IF($C$80="x",1)-IF($I$77="x",2)-IF($I$90="x",2)+IF($I$83="x",2)-IF($C$83="x",4)-$C$112-5+IF(H345="x",1)+I345+$M$77+IF(H347="x",1)+IF(J347="x",1)+IF($M$76="x",2)+J345+IF($M$85="x",1)+IF($M$113="x",1)+IF($M$120="x",2)+IF($M$119="x",2)+IF($M$105="x",1)+IF($M$110="x",1)+IF($M$111="x",2)+IF($M$112="x",4)+IF($M$108="x",1)-IF($M$109="x",1)-IF($M$99="x",1)+IF($M$90="x",1)-IF($C$97="x",2,4),
IF(AND($C$3&gt;10,$C$3&lt;16),SUM($C$3,$I$2)-$C$120+IF($C$75="x",2)+$I$16-$B$10+$M$94+IF($C$77="x",2)-IF($C$78="x",4)-IF($I$78="x",1)-IF($C$79="x",4)+IF($C$80="x",1)-IF($I$77="x",2)-IF($I$90="x",2)+IF($I$83="x",2)-IF($C$83="x",4)-$C$112+IF(H345="x",1)+I345+$M$77+IF(H347="x",1)+IF(J347="x",1)+IF($M$76="x",2)+J345+IF($M$85="x",1)+IF($M$113="x",1)+IF($M$120="x",2)+IF($M$119="x",2)+IF($M$105="x",1)+IF($M$110="x",1)+IF($M$111="x",2)+IF($M$112="x",4)+IF($M$108="x",1)-IF($M$109="x",1)+IF($M$99="x",20)-IF($M$99="x",1)+IF($M$90="x",1)-IF($C$97="x",2,4)
&amp;"/"&amp;SUM($C$3,$I$2)-$C$120+IF($C$75="x",2)+$I$16-$B$10+$M$94+IF($C$77="x",2)-IF($C$78="x",4)-IF($I$78="x",1)-IF($C$79="x",4)+IF($C$80="x",1)-IF($I$77="x",2)-IF($I$90="x",2)+IF($I$83="x",2)-IF($C$83="x",4)-$C$112-5+IF(H675="x",1)+IF(H345="x",1)+I345+$M$77+IF(H347="x",1)+IF(J347="x",1)+IF($M$76="x",2)+J345+IF($M$85="x",1)+IF($M$113="x",1)+IF($M$120="x",2)+IF($M$119="x",2)+IF($M$105="x",1)+IF($M$110="x",1)+IF($M$111="x",2)+IF($M$112="x",4)+IF($M$108="x",1)-IF($M$109="x",1)-IF($M$99="x",1)+IF($M$90="x",1)-IF($C$97="x",2,4)
&amp;"/"&amp;SUM($C$3,$I$2)-$C$120+IF($C$75="x",2)+$I$16-$B$10+$M$94+IF($C$77="x",2)-IF($C$78="x",4)-IF($I$78="x",1)-IF($C$79="x",4)+IF($C$80="x",1)-IF($I$77="x",2)-IF($I$90="x",2)+IF($I$83="x",2)-IF($C$83="x",4)-$C$112-10+IF(H675="x",1)+IF(H345="x",1)+I345+$M$77+IF(H347="x",1)+IF(J347="x",1)+IF($M$76="x",2)+J345+IF($M$85="x",1)+IF($M$113="x",1)+IF($M$120="x",2)+IF($M$119="x",2)+IF($M$105="x",1)+IF($M$110="x",1)+IF($M$111="x",2)+IF($M$112="x",4)+IF($M$108="x",1)-IF($M$109="x",1)-IF($M$99="x",1)+IF($M$90="x",1)-IF($C$97="x",2,4),
IF(AND($C$3&gt;15),SUM($C$3,$I$2)-$C$120+IF($C$75="x",2)+$I$16-$B$10+$M$94+IF($C$77="x",2)-IF($C$78="x",4)-IF($I$78="x",1)-IF($C$79="x",4)+IF($C$80="x",1)-IF($I$77="x",2)-IF($I$90="x",2)+IF($I$83="x",2)-IF($C$83="x",4)-$C$112+IF(H345="x",1)+I345+$M$77+IF(H347="x",1)+IF(J347="x",1)+IF($M$76="x",2)+J345+IF($M$85="x",1)+IF($M$113="x",1)+IF($M$120="x",2)+IF($M$119="x",2)+IF($M$105="x",1)+IF($M$110="x",1)+IF($M$111="x",2)+IF($M$112="x",4)+IF($M$108="x",1)-IF($M$109="x",1)-IF($M$99="x",1)+IF($M$90="x",1)-IF($C$97="x",2,4)
&amp;"/"&amp;SUM($C$3,$I$2)-$C$120+IF($C$75="x",2)+$I$16-$B$10+$M$94+IF($C$77="x",2)-IF($C$78="x",4)-IF($I$78="x",1)-IF($C$79="x",4)+IF($C$80="x",1)-IF($I$77="x",2)-IF($I$90="x",2)+IF($I$83="x",2)-IF($C$83="x",4)-$C$112-5+IF(H675="x",1)+IF(H345="x",1)+I345+$M$77+IF(H347="x",1)+IF(J347="x",1)+IF($M$76="x",2)+J345+IF($M$85="x",1)+IF($M$113="x",1)+IF($M$120="x",2)+IF($M$119="x",2)+IF($M$105="x",1)+IF($M$110="x",1)+IF($M$111="x",2)+IF($M$112="x",4)+IF($M$108="x",1)-IF($M$109="x",1)-IF($M$99="x",1)+IF($M$90="x",1)-IF($C$97="x",2,4)
&amp;"/"&amp;SUM($C$3,$I$2)-$C$120+IF($C$75="x",2)+$I$16-$B$10+$M$94+IF($C$77="x",2)-IF($C$78="x",4)-IF($I$78="x",1)-IF($C$79="x",4)+IF($C$80="x",1)-IF($I$77="x",2)-IF($I$90="x",2)+IF($I$83="x",2)-IF($C$83="x",4)-$C$112-10+IF(H675="x",1)+IF(H345="x",1)+I345+$M$77+IF(H347="x",1)+IF(J347="x",1)+IF($M$76="x",2)+J345+IF($M$85="x",1)+IF($M$113="x",1)+IF($M$120="x",2)+IF($M$119="x",2)+IF($M$105="x",1)+IF($M$110="x",1)+IF($M$111="x",2)+IF($M$112="x",4)+IF($M$108="x",1)-IF($M$109="x",1)-IF($M$99="x",1)+IF($M$90="x",1)-IF($C$97="x",2,4)
&amp;"/"&amp;SUM($C$3,$I$2)-$C$120+IF($C$75="x",2)+$I$16-$B$10+$M$94+IF($C$77="x",2)-IF($C$78="x",4)-IF($I$78="x",1)-IF($C$79="x",4)+IF($C$80="x",1)-IF($I$77="x",2)-IF($I$90="x",2)+IF($I$83="x",2)-IF($C$83="x",4)-$C$112-15+IF(H675="x",1)+IF(H345="x",1)+I345+$M$77+IF(H347="x",1)+IF(J347="x",1)+IF($M$76="x",2)+J345+IF($M$85="x",1)+IF($M$113="x",1)+IF($M$120="x",2)+IF($M$119="x",2)+IF($M$105="x",1)+IF($M$110="x",1)+IF($M$111="x",2)+IF($M$112="x",4)+IF($M$108="x",1)-IF($M$109="x",1)-IF($M$99="x",1)+IF($M$90="x",1)-IF($C$97="x",2,4))))))</f>
        <v>-4</v>
      </c>
      <c r="C347" s="49" t="str">
        <f>_xlfn.IFS($C$7="Minimaalinen","1",$C$7="Taskukokoinen","1n2",$C$7="Hyvin pieni","1n3",$C$7="Pieni","1n4",$C$7="Keskikokoinen","1n6",$C$7="Iso","1n8",$C$7="Valtava","2n6",$C$7="Suunnaton","3n6",$C$7="Giganttinen","4n6")</f>
        <v>1n6</v>
      </c>
      <c r="D347" s="121">
        <f>SUM($I$2+$C$120)+I345+$M$77+IF(I347="x",2)+IF(K347="x",2)+IF($M$119="x",2)+IF($M$108="x",1)+$M$94-IF($M$109="x",1)+K345</f>
        <v>0</v>
      </c>
      <c r="E347" s="49" t="str">
        <f>_xlfn.IFS($C$7="Minimaalinen","2",$C$7="Taskukokoinen","2n2",$C$7="Hyvin pieni","2n3",$C$7="Pieni","2n4",$C$7="Keskikokoinen","2n6",$C$7="Iso","2n8",$C$7="Valtava","4n6",$C$7="Suunnaton","6n6",$C$7="Giganttinen","8n6")</f>
        <v>2n6</v>
      </c>
      <c r="F347" s="12">
        <f>SUM(D347*2)</f>
        <v>0</v>
      </c>
      <c r="G347" s="82" t="str">
        <f>(IF($I$89="x","50 %","")&amp;(IF($C$81="x","20 %",""))&amp;(IF($C$82="x","50 %","")))</f>
        <v/>
      </c>
      <c r="H347" s="28"/>
      <c r="I347" s="28"/>
      <c r="J347" s="28"/>
      <c r="K347" s="28"/>
      <c r="AB347" s="50"/>
      <c r="AC347" s="51"/>
      <c r="AD347" s="49"/>
      <c r="AE347" s="51"/>
      <c r="AF347" s="49"/>
      <c r="AG347" s="40"/>
      <c r="AH347" s="49"/>
      <c r="AI347" s="48"/>
      <c r="AJ347" s="48"/>
      <c r="AK347" s="48"/>
      <c r="AL347" s="48"/>
    </row>
    <row r="348" spans="1:38" x14ac:dyDescent="0.2">
      <c r="A348" s="133" t="s">
        <v>437</v>
      </c>
      <c r="B348" s="82">
        <f>IF($I$85="x","PAINISSA",IF($C$3&lt;=5,SUM($C$3,$I$2)-$C$120+IF($C$75="x",2)+$I$16-$B$10+$M$94+IF($C$77="x",2)-IF($C$78="x",4)-IF($I$78="x",1)-IF($C$79="x",4)+IF($C$80="x",1)-IF($I$77="x",2)-IF($I$90="x",2)+IF($I$83="x",2)-IF($C$75="x",4)-$C$112+IF(H345="x",1)+I345+$M$77+IF(H347="x",1)+IF(J347="x",1)+IF($M$76="x",2)+J345+IF($M$85="x",1)+IF($M$113="x",1)+IF($M$120="x",2)+IF($M$119="x",2)+IF($M$105="x",1)+IF($M$110="x",1)+IF($M$111="x",2)+IF($M$112="x",4)+IF($M$108="x",1)-IF($M$109="x",1)-IF($M$99="x",1)+IF($M$90="x",1)-IF($C$97="x",4,6),
IF(AND($C$3&gt;5,$C$3&lt;11),SUM($C$3,$I$2)-$C$120+IF($C$75="x",2)+$I$16-$B$10+$M$94+IF($C$77="x",2)-IF($C$78="x",4)-IF($I$78="x",1)-IF($C$79="x",4)+IF($C$80="x",1)-IF($I$77="x",2)-IF($I$90="x",2)+IF($I$83="x",2)-IF($C$83="x",4)-$C$112+IF(H345="x",1)+I345+$M$77+IF(H347="x",1)+IF(J347="x",1)+IF($M$76="x",2)+J345+IF($M$85="x",1)+IF($M$113="x",1)+IF($M$120="x",2)+IF($M$119="x",2)+IF($M$105="x",1)+IF($M$110="x",1)+IF($M$111="x",2)+IF($M$112="x",4)+IF($M$108="x",1)-IF($M$109="x",1)-IF($M$99="x",1)+IF($M$90="x",1)-IF($C$97="x",4,6)
&amp;"/"&amp;SUM($C$3,$I$2)-$C$120+IF($C$75="x",2)+$I$16-$B$10+$M$94+IF($C$77="x",2)-IF($C$78="x",4)-IF($I$78="x",1)-IF($C$79="x",4)+IF($C$80="x",1)-IF($I$77="x",2)-IF($I$90="x",2)+IF($I$83="x",2)-IF($C$83="x",4)-$C$112-5+IF(H345="x",1)+I345+$M$77+IF(H347="x",1)+IF(J347="x",1)+IF($M$76="x",2)+J345+IF($M$85="x",1)+IF($M$113="x",1)+IF($M$120="x",2)+IF($M$119="x",2)+IF($M$105="x",1)+IF($M$110="x",1)+IF($M$111="x",2)+IF($M$112="x",4)+IF($M$108="x",1)-IF($M$109="x",1)-IF($M$99="x",1)+IF($M$90="x",1)-IF($C$97="x",4,6),
IF(AND($C$3&gt;10,$C$3&lt;16),SUM($C$3,$I$2)-$C$120+IF($C$75="x",2)+$I$16-$B$10+$M$94+IF($C$77="x",2)-IF($C$78="x",4)-IF($I$78="x",1)-IF($C$79="x",4)+IF($C$80="x",1)-IF($I$77="x",2)-IF($I$90="x",2)+IF($I$83="x",2)-IF($C$83="x",4)-$C$112+IF(H345="x",1)+I345+$M$77+IF(H347="x",1)+IF(J347="x",1)+IF($M$76="x",2)+J345+IF($M$85="x",1)+IF($M$113="x",1)+IF($M$120="x",2)+IF($M$119="x",2)+IF($M$105="x",1)+IF($M$110="x",1)+IF($M$111="x",2)+IF($M$112="x",4)+IF($M$108="x",1)-IF($M$109="x",1)+IF($M$99="x",20)-IF($M$99="x",1)+IF($M$90="x",1)-IF($C$97="x",4,6)
&amp;"/"&amp;SUM($C$3,$I$2)-$C$120+IF($C$75="x",2)+$I$16-$B$10+$M$94+IF($C$77="x",2)-IF($C$78="x",4)-IF($I$78="x",1)-IF($C$79="x",4)+IF($C$80="x",1)-IF($I$77="x",2)-IF($I$90="x",2)+IF($I$83="x",2)-IF($C$83="x",4)-$C$112-5+IF(H675="x",1)+IF(H345="x",1)+I345+$M$77+IF(H347="x",1)+IF(J347="x",1)+IF($M$76="x",2)+J345+IF($M$85="x",1)+IF($M$113="x",1)+IF($M$120="x",2)+IF($M$119="x",2)+IF($M$105="x",1)+IF($M$110="x",1)+IF($M$111="x",2)+IF($M$112="x",4)+IF($M$108="x",1)-IF($M$109="x",1)-IF($M$99="x",1)+IF($M$90="x",1)-IF($C$97="x",4,6)
&amp;"/"&amp;SUM($C$3,$I$2)-$C$120+IF($C$75="x",2)+$I$16-$B$10+$M$94+IF($C$77="x",2)-IF($C$78="x",4)-IF($I$78="x",1)-IF($C$79="x",4)+IF($C$80="x",1)-IF($I$77="x",2)-IF($I$90="x",2)+IF($I$83="x",2)-IF($C$83="x",4)-$C$112-10+IF(H675="x",1)+IF(H345="x",1)+I345+$M$77+IF(H347="x",1)+IF(J347="x",1)+IF($M$76="x",2)+J345+IF($M$85="x",1)+IF($M$113="x",1)+IF($M$120="x",2)+IF($M$119="x",2)+IF($M$105="x",1)+IF($M$110="x",1)+IF($M$111="x",2)+IF($M$112="x",4)+IF($M$108="x",1)-IF($M$109="x",1)-IF($M$99="x",1)+IF($M$90="x",1)-IF($C$97="x",4,6),
IF(AND($C$3&gt;15),SUM($C$3,$I$2)-$C$120+IF($C$75="x",2)+$I$16-$B$10+$M$94+IF($C$77="x",2)-IF($C$78="x",4)-IF($I$78="x",1)-IF($C$79="x",4)+IF($C$80="x",1)-IF($I$77="x",2)-IF($I$90="x",2)+IF($I$83="x",2)-IF($C$83="x",4)-$C$112+IF(H345="x",1)+I345+$M$77+IF(H347="x",1)+IF(J347="x",1)+IF($M$76="x",2)+J345+IF($M$85="x",1)+IF($M$113="x",1)+IF($M$120="x",2)+IF($M$119="x",2)+IF($M$105="x",1)+IF($M$110="x",1)+IF($M$111="x",2)+IF($M$112="x",4)+IF($M$108="x",1)-IF($M$109="x",1)-IF($M$99="x",1)+IF($M$90="x",1)-IF($C$97="x",4,6)
&amp;"/"&amp;SUM($C$3,$I$2)-$C$120+IF($C$75="x",2)+$I$16-$B$10+$M$94+IF($C$77="x",2)-IF($C$78="x",4)-IF($I$78="x",1)-IF($C$79="x",4)+IF($C$80="x",1)-IF($I$77="x",2)-IF($I$90="x",2)+IF($I$83="x",2)-IF($C$83="x",4)-$C$112-5+IF(H675="x",1)+IF(H345="x",1)+I345+$M$77+IF(H347="x",1)+IF(J347="x",1)+IF($M$76="x",2)+J345+IF($M$85="x",1)+IF($M$113="x",1)+IF($M$120="x",2)+IF($M$119="x",2)+IF($M$105="x",1)+IF($M$110="x",1)+IF($M$111="x",2)+IF($M$112="x",4)+IF($M$108="x",1)-IF($M$109="x",1)-IF($M$99="x",1)+IF($M$90="x",1)-IF($C$97="x",4,6)
&amp;"/"&amp;SUM($C$3,$I$2)-$C$120+IF($C$75="x",2)+$I$16-$B$10+$M$94+IF($C$77="x",2)-IF($C$78="x",4)-IF($I$78="x",1)-IF($C$79="x",4)+IF($C$80="x",1)-IF($I$77="x",2)-IF($I$90="x",2)+IF($I$83="x",2)-IF($C$83="x",4)-$C$112-10+IF(H675="x",1)+IF(H345="x",1)+I345+$M$77+IF(H347="x",1)+IF(J347="x",1)+IF($M$76="x",2)+J345+IF($M$85="x",1)+IF($M$113="x",1)+IF($M$120="x",2)+IF($M$119="x",2)+IF($M$105="x",1)+IF($M$110="x",1)+IF($M$111="x",2)+IF($M$112="x",4)+IF($M$108="x",1)-IF($M$109="x",1)-IF($M$99="x",1)+IF($M$90="x",1)-IF($C$97="x",4,6)
&amp;"/"&amp;SUM($C$3,$I$2)-$C$120+IF($C$75="x",2)+$I$16-$B$10+$M$94+IF($C$77="x",2)-IF($C$78="x",4)-IF($I$78="x",1)-IF($C$79="x",4)+IF($C$80="x",1)-IF($I$77="x",2)-IF($I$90="x",2)+IF($I$83="x",2)-IF($C$83="x",4)-$C$112-15+IF(H675="x",1)+IF(H345="x",1)+I345+$M$77+IF(H347="x",1)+IF(J347="x",1)+IF($M$76="x",2)+J345+IF($M$85="x",1)+IF($M$113="x",1)+IF($M$120="x",2)+IF($M$119="x",2)+IF($M$105="x",1)+IF($M$110="x",1)+IF($M$111="x",2)+IF($M$112="x",4)+IF($M$108="x",1)-IF($M$109="x",1)-IF($M$99="x",1)+IF($M$90="x",1)-IF($C$97="x",4,6))))))</f>
        <v>-6</v>
      </c>
      <c r="C348" s="49" t="str">
        <f>_xlfn.IFS($C$7="Minimaalinen","1",$C$7="Taskukokoinen","1n2",$C$7="Hyvin pieni","1n3",$C$7="Pieni","1n4",$C$7="Keskikokoinen","1n6",$C$7="Iso","1n8",$C$7="Valtava","2n6",$C$7="Suunnaton","3n6",$C$7="Giganttinen","4n6")</f>
        <v>1n6</v>
      </c>
      <c r="D348" s="121">
        <f>SUM($I$2+$C$120)+I345+$M$77+IF(I347="x",2)+IF(K347="x",2)+IF($M$119="x",2)+IF($M$108="x",1)+$M$94-IF($M$109="x",1)+K345</f>
        <v>0</v>
      </c>
      <c r="E348" s="49" t="str">
        <f>_xlfn.IFS($C$7="Minimaalinen","2",$C$7="Taskukokoinen","2n2",$C$7="Hyvin pieni","2n3",$C$7="Pieni","2n4",$C$7="Keskikokoinen","2n6",$C$7="Iso","2n8",$C$7="Valtava","4n6",$C$7="Suunnaton","6n6",$C$7="Giganttinen","8n6")</f>
        <v>2n6</v>
      </c>
      <c r="F348" s="12">
        <f>SUM(D348*2)</f>
        <v>0</v>
      </c>
      <c r="G348" s="82" t="str">
        <f>(IF($I$89="x","50 %","")&amp;(IF($C$81="x","20 %",""))&amp;(IF($C$82="x","50 %","")))</f>
        <v/>
      </c>
      <c r="H348" s="48"/>
      <c r="I348" s="15"/>
      <c r="AB348" s="52"/>
      <c r="AC348" s="53"/>
      <c r="AD348" s="54"/>
      <c r="AE348" s="53"/>
      <c r="AF348" s="54"/>
      <c r="AG348" s="54"/>
      <c r="AH348" s="53"/>
      <c r="AI348" s="40"/>
      <c r="AJ348" s="40"/>
      <c r="AK348" s="40"/>
      <c r="AL348" s="40"/>
    </row>
    <row r="349" spans="1:38" x14ac:dyDescent="0.2">
      <c r="A349" s="122" t="s">
        <v>436</v>
      </c>
      <c r="B349" s="123">
        <f>IF($I$85="x","PAINISSA",IF(AND($C$90="",$C$118=""),SUM($C$3,$I$2)-$C$120+IF($C$75="x",2)+$I$16-$B$10+$M$94+IF($C$77="x",2)-IF($C$78="x",4)-IF($I$78="x",1)-IF($C$79="x",4)+IF($C$80="x",1)-IF($I$77="x",2)-IF($I$90="x",2)+IF($I$83="x",2)-IF($C$75="x",4)-$C$112+IF(H345="x",1)+I345+$M$77+IF(H347="x",1)+IF(J347="x",1)+IF($M$76="x",2)+J345+IF($M$85="x",1)+IF($M$113="x",1)+IF($M$120="x",2)+IF($M$119="x",2)+IF($M$105="x",1)+IF($M$110="x",1)+IF($M$111="x",2)+IF($M$112="x",4)+IF($M$108="x",1)-IF($M$109="x",1)-IF($M$99="x",1)+IF($M$90="x",1)-IF($C$97="x",4,10),
IF(AND($C$90="x",$C$118=""),SUM($C$3,$I$2)-$C$120+IF($C$75="x",2)+$I$16-$B$10+$M$94+IF($C$77="x",2)-IF($C$78="x",4)-IF($I$78="x",1)-IF($C$79="x",4)+IF($C$80="x",1)-IF($I$77="x",2)-IF($I$90="x",2)+IF($I$83="x",2)-IF($C$83="x",4)-$C$112+IF(H345="x",1)+I345+$M$77+IF(H347="x",1)+IF(J347="x",1)+IF($M$76="x",2)+J345+IF($M$85="x",1)+IF($M$113="x",1)+IF($M$120="x",2)+IF($M$119="x",2)+IF($M$105="x",1)+IF($M$110="x",1)+IF($M$111="x",2)+IF($M$112="x",4)+IF($M$108="x",1)-IF($M$109="x",1)-IF($M$99="x",1)+IF($M$90="x",1)-IF($C$97="x",4,10)
&amp;"/"&amp;SUM($C$3,$I$2)-$C$120+IF($C$75="x",2)+$I$16-$B$10+$M$94+IF($C$77="x",2)-IF($C$78="x",4)-IF($I$78="x",1)-IF($C$79="x",4)+IF($C$80="x",1)-IF($I$77="x",2)-IF($I$90="x",2)+IF($I$83="x",2)-IF($C$83="x",4)-$C$112+IF(H345="x",1)+I345+$M$77+IF(H347="x",1)+IF(J347="x",1)+IF($M$76="x",2)+J345+IF($M$85="x",1)+IF($M$113="x",1)+IF($M$120="x",2)+IF($M$119="x",2)+IF($M$105="x",1)+IF($M$110="x",1)+IF($M$111="x",2)+IF($M$112="x",4)+IF($M$108="x",1)-IF($M$109="x",1)-IF($M$99="x",1)+IF($M$90="x",1)-IF($C$97="x",4,10)-5,
IF(AND($C$90="x",$C$118="x"),SUM($C$3,$I$2)-$C$120+IF($C$75="x",2)+$I$16-$B$10+$M$94+IF($C$77="x",2)-IF($C$78="x",4)-IF($I$78="x",1)-IF($C$79="x",4)+IF($C$80="x",1)-IF($I$77="x",2)-IF($I$90="x",2)+IF($I$83="x",2)-IF($C$83="x",4)-$C$112+IF(H345="x",1)+I345+$M$77+IF(H347="x",1)+IF(J347="x",1)+IF($M$76="x",2)+J345+IF($M$85="x",1)+IF($M$113="x",1)+IF($M$120="x",2)+IF($M$119="x",2)+IF($M$105="x",1)+IF($M$110="x",1)+IF($M$111="x",2)+IF($M$112="x",4)+IF($M$108="x",1)-IF($M$109="x",1)+IF($M$99="x",20)-IF($M$99="x",1)+IF($M$90="x",1)-IF($C$97="x",4,10)
&amp;"/"&amp;SUM($C$3,$I$2)-$C$120+IF($C$75="x",2)+$I$16-$B$10+$M$94+IF($C$77="x",2)-IF($C$78="x",4)-IF($I$78="x",1)-IF($C$79="x",4)+IF($C$80="x",1)-IF($I$77="x",2)-IF($I$90="x",2)+IF($I$83="x",2)-IF($C$83="x",4)-$C$112-5+IF(H345="x",1)+I345+$M$77+IF(H347="x",1)+IF(J347="x",1)+IF($M$76="x",2)+J345+IF($M$85="x",1)+IF($M$113="x",1)+IF($M$120="x",2)+IF($M$119="x",2)+IF($M$105="x",1)+IF($M$110="x",1)+IF($M$111="x",2)+IF($M$112="x",4)+IF($M$108="x",1)-IF($M$109="x",1)-IF($M$99="x",1)+IF($M$90="x",1)-IF($C$97="x",4,10)
&amp;"/"&amp;SUM($C$3,$I$2)-$C$120+IF($C$75="x",2)+$I$16-$B$10+$M$94+IF($C$77="x",2)-IF($C$78="x",4)-IF($I$78="x",1)-IF($C$79="x",4)+IF($C$80="x",1)-IF($I$77="x",2)-IF($I$90="x",2)+IF($I$83="x",2)-IF($C$83="x",4)-$C$112-10+IF(H345="x",1)+I345+$M$77+IF(H347="x",1)+IF(J347="x",1)+IF($M$76="x",2)+J345+IF($M$85="x",1)+IF($M$113="x",1)+IF($M$120="x",2)+IF($M$119="x",2)+IF($M$105="x",1)+IF($M$110="x",1)+IF($M$111="x",2)+IF($M$112="x",4)+IF($M$108="x",1)-IF($M$109="x",1)-IF($M$99="x",1)+IF($M$90="x",1)-IF($C$97="x",4,10)))))</f>
        <v>-10</v>
      </c>
      <c r="C349" s="54" t="str">
        <f>_xlfn.IFS($C$7="Minimaalinen","1",$C$7="Taskukokoinen","1n2",$C$7="Hyvin pieni","1n3",$C$7="Pieni","1n4",$C$7="Keskikokoinen","1n6",$C$7="Iso","1n8",$C$7="Valtava","2n6",$C$7="Suunnaton","3n6",$C$7="Giganttinen","4n6")</f>
        <v>1n6</v>
      </c>
      <c r="D349" s="123">
        <f>INT($I$2/2)+($C$120)+I345+$M$77+IF(I347="x",2)+IF(K347="x",2)+IF($M$119="x",2)+IF($M$108="x",1)+$M$94+K345-IF($M$109="x",1)</f>
        <v>0</v>
      </c>
      <c r="E349" s="54" t="str">
        <f>_xlfn.IFS($C$7="Minimaalinen","2",$C$7="Taskukokoinen","2n2",$C$7="Hyvin pieni","2n3",$C$7="Pieni","2n4",$C$7="Keskikokoinen","2n6",$C$7="Iso","2n8",$C$7="Valtava","4n6",$C$7="Suunnaton","6n6",$C$7="Giganttinen","8n6")</f>
        <v>2n6</v>
      </c>
      <c r="F349" s="124">
        <f>SUM(D349*2)</f>
        <v>0</v>
      </c>
      <c r="G349" s="124" t="str">
        <f>(IF($I$89="x","50 %","")&amp;(IF($C$81="x","20 %",""))&amp;(IF($C$82="x","50 %","")))</f>
        <v/>
      </c>
      <c r="H349" s="40"/>
      <c r="K349" s="82"/>
    </row>
    <row r="350" spans="1:38" x14ac:dyDescent="0.2">
      <c r="B350" s="15"/>
      <c r="C350" s="15"/>
      <c r="D350" s="15"/>
      <c r="F350" s="15"/>
      <c r="G350" s="15"/>
      <c r="H350" s="15"/>
      <c r="I350" s="15"/>
    </row>
    <row r="351" spans="1:38" x14ac:dyDescent="0.2">
      <c r="B351" s="15"/>
      <c r="C351" s="15"/>
      <c r="D351" s="15"/>
      <c r="F351" s="15"/>
      <c r="G351" s="15"/>
      <c r="H351" s="15"/>
      <c r="I351" s="15"/>
      <c r="AB351" s="46"/>
      <c r="AC351" s="48"/>
      <c r="AD351" s="48"/>
      <c r="AE351" s="48"/>
      <c r="AF351" s="48"/>
      <c r="AG351" s="48"/>
      <c r="AH351" s="48"/>
      <c r="AI351" s="48"/>
      <c r="AJ351" s="48"/>
      <c r="AK351" s="48"/>
      <c r="AL351" s="48"/>
    </row>
    <row r="352" spans="1:38" x14ac:dyDescent="0.2">
      <c r="A352" s="134" t="s">
        <v>313</v>
      </c>
      <c r="B352" s="130" t="s">
        <v>1</v>
      </c>
      <c r="C352" s="130" t="s">
        <v>2</v>
      </c>
      <c r="D352" s="130" t="s">
        <v>3</v>
      </c>
      <c r="E352" s="130" t="s">
        <v>229</v>
      </c>
      <c r="F352" s="130" t="s">
        <v>3</v>
      </c>
      <c r="G352" s="130" t="s">
        <v>45</v>
      </c>
      <c r="H352" s="14" t="s">
        <v>179</v>
      </c>
      <c r="I352" s="130" t="s">
        <v>242</v>
      </c>
      <c r="J352" s="130" t="s">
        <v>224</v>
      </c>
      <c r="K352" s="130" t="s">
        <v>225</v>
      </c>
      <c r="AC352" s="41"/>
      <c r="AD352" s="40"/>
      <c r="AE352" s="41"/>
      <c r="AF352" s="40"/>
      <c r="AG352" s="40"/>
      <c r="AH352" s="40"/>
      <c r="AI352" s="40"/>
      <c r="AJ352" s="40"/>
      <c r="AK352" s="40"/>
      <c r="AL352" s="40"/>
    </row>
    <row r="353" spans="1:38" x14ac:dyDescent="0.2">
      <c r="A353" s="131" t="s">
        <v>219</v>
      </c>
      <c r="B353" s="12">
        <f>IF($I$85="x","PAINISSA",IF($C$3&lt;=5,SUM($C$3,$I$2)-$C$120+IF($C$75="x",2)+$I$16-$B$10+$M$94+IF($C$77="x",2)-IF($C$78="x",4)-IF($I$78="x",1)-IF($C$79="x",4)+IF($C$80="x",1)-IF($I$77="x",2)-IF($I$90="x",2)+IF($I$83="x",2)-IF($C$75="x",4)-$C$112+IF(H353="x",1)+I353+$M$77+IF(H355="x",1)+IF(J355="x",1)+IF($M$76="x",2)+J353+IF($M$85="x",1)+IF($M$113="x",1)+IF($M$120="x",2)+IF($M$119="x",2)+IF($M$105="x",1)+IF($M$110="x",1)+IF($M$111="x",2)+IF($M$112="x",4)+IF($M$108="x",1)-IF($M$109="x",1)-IF($M$99="x",1)+IF($M$90="x",1),
IF(AND($C$3&gt;5,$C$3&lt;11),SUM($C$3,$I$2)-$C$120+IF($C$75="x",2)+$I$16-$B$10+$M$94+IF($C$77="x",2)-IF($C$78="x",4)-IF($I$78="x",1)-IF($C$79="x",4)+IF($C$80="x",1)-IF($I$77="x",2)-IF($I$90="x",2)+IF($I$83="x",2)-IF($C$83="x",4)-$C$112+IF(H353="x",1)+I353+$M$77+IF(H355="x",1)+IF(J355="x",1)+IF($M$76="x",2)+J353+IF($M$85="x",1)+IF($M$113="x",1)+IF($M$120="x",2)+IF($M$119="x",2)+IF($M$105="x",1)+IF($M$110="x",1)+IF($M$111="x",2)+IF($M$112="x",4)+IF($M$108="x",1)-IF($M$109="x",1)-IF($M$99="x",1)+IF($M$90="x",1)
&amp;"/"&amp;SUM($C$3,$I$2)-$C$120+IF($C$75="x",2)+$I$16-$B$10+$M$94+IF($C$77="x",2)-IF($C$78="x",4)-IF($I$78="x",1)-IF($C$79="x",4)+IF($C$80="x",1)-IF($I$77="x",2)-IF($I$90="x",2)+IF($I$83="x",2)-IF($C$83="x",4)-$C$112-5+IF(H353="x",1)+I353+$M$77+IF(H355="x",1)+IF(J355="x",1)+IF($M$76="x",2)+J353+IF($M$85="x",1)+IF($M$113="x",1)+IF($M$120="x",2)+IF($M$119="x",2)+IF($M$105="x",1)+IF($M$110="x",1)+IF($M$111="x",2)+IF($M$112="x",4)+IF($M$108="x",1)-IF($M$109="x",1)-IF($M$99="x",1)+IF($M$90="x",1),
IF(AND($C$3&gt;10,$C$3&lt;16),SUM($C$3,$I$2)-$C$120+IF($C$75="x",2)+$I$16-$B$10+$M$94+IF($C$77="x",2)-IF($C$78="x",4)-IF($I$78="x",1)-IF($C$79="x",4)+IF($C$80="x",1)-IF($I$77="x",2)-IF($I$90="x",2)+IF($I$83="x",2)-IF($C$83="x",4)-$C$112+IF(H353="x",1)+I353+$M$77+IF(H355="x",1)+IF(J355="x",1)+IF($M$76="x",2)+J353+IF($M$85="x",1)+IF($M$113="x",1)+IF($M$120="x",2)+IF($M$119="x",2)+IF($M$105="x",1)+IF($M$110="x",1)+IF($M$111="x",2)+IF($M$112="x",4)+IF($M$108="x",1)-IF($M$109="x",1)+IF($M$99="x",20)-IF($M$99="x",1)+IF($M$90="x",1)
&amp;"/"&amp;SUM($C$3,$I$2)-$C$120+IF($C$75="x",2)+$I$16-$B$10+$M$94+IF($C$77="x",2)-IF($C$78="x",4)-IF($I$78="x",1)-IF($C$79="x",4)+IF($C$80="x",1)-IF($I$77="x",2)-IF($I$90="x",2)+IF($I$83="x",2)-IF($C$83="x",4)-$C$112-5+IF(H659="x",1)+IF(H353="x",1)+I353+$M$77+IF(H355="x",1)+IF(J355="x",1)+IF($M$76="x",2)+J353+IF($M$85="x",1)+IF($M$113="x",1)+IF($M$120="x",2)+IF($M$119="x",2)+IF($M$105="x",1)+IF($M$110="x",1)+IF($M$111="x",2)+IF($M$112="x",4)+IF($M$108="x",1)-IF($M$109="x",1)-IF($M$99="x",1)+IF($M$90="x",1)
&amp;"/"&amp;SUM($C$3,$I$2)-$C$120+IF($C$75="x",2)+$I$16-$B$10+$M$94+IF($C$77="x",2)-IF($C$78="x",4)-IF($I$78="x",1)-IF($C$79="x",4)+IF($C$80="x",1)-IF($I$77="x",2)-IF($I$90="x",2)+IF($I$83="x",2)-IF($C$83="x",4)-$C$112-10+IF(H659="x",1)+IF(H353="x",1)+I353+$M$77+IF(H355="x",1)+IF(J355="x",1)+IF($M$76="x",2)+J353+IF($M$85="x",1)+IF($M$113="x",1)+IF($M$120="x",2)+IF($M$119="x",2)+IF($M$105="x",1)+IF($M$110="x",1)+IF($M$111="x",2)+IF($M$112="x",4)+IF($M$108="x",1)-IF($M$109="x",1)-IF($M$99="x",1)+IF($M$90="x",1),
IF(AND($C$3&gt;15),SUM($C$3,$I$2)-$C$120+IF($C$75="x",2)+$I$16-$B$10+$M$94+IF($C$77="x",2)-IF($C$78="x",4)-IF($I$78="x",1)-IF($C$79="x",4)+IF($C$80="x",1)-IF($I$77="x",2)-IF($I$90="x",2)+IF($I$83="x",2)-IF($C$83="x",4)-$C$112+IF(H353="x",1)+I353+$M$77+IF(H355="x",1)+IF(J355="x",1)+IF($M$76="x",2)+J353+IF($M$85="x",1)+IF($M$113="x",1)+IF($M$120="x",2)+IF($M$119="x",2)+IF($M$105="x",1)+IF($M$110="x",1)+IF($M$111="x",2)+IF($M$112="x",4)+IF($M$108="x",1)-IF($M$109="x",1)-IF($M$99="x",1)+IF($M$90="x",1)
&amp;"/"&amp;SUM($C$3,$I$2)-$C$120+IF($C$75="x",2)+$I$16-$B$10+$M$94+IF($C$77="x",2)-IF($C$78="x",4)-IF($I$78="x",1)-IF($C$79="x",4)+IF($C$80="x",1)-IF($I$77="x",2)-IF($I$90="x",2)+IF($I$83="x",2)-IF($C$83="x",4)-$C$112-5+IF(H659="x",1)+IF(H353="x",1)+I353+$M$77+IF(H355="x",1)+IF(J355="x",1)+IF($M$76="x",2)+J353+IF($M$85="x",1)+IF($M$113="x",1)+IF($M$120="x",2)+IF($M$119="x",2)+IF($M$105="x",1)+IF($M$110="x",1)+IF($M$111="x",2)+IF($M$112="x",4)+IF($M$108="x",1)-IF($M$109="x",1)-IF($M$99="x",1)+IF($M$90="x",1)
&amp;"/"&amp;SUM($C$3,$I$2)-$C$120+IF($C$75="x",2)+$I$16-$B$10+$M$94+IF($C$77="x",2)-IF($C$78="x",4)-IF($I$78="x",1)-IF($C$79="x",4)+IF($C$80="x",1)-IF($I$77="x",2)-IF($I$90="x",2)+IF($I$83="x",2)-IF($C$83="x",4)-$C$112-10+IF(H659="x",1)+IF(H353="x",1)+I353+$M$77+IF(H355="x",1)+IF(J355="x",1)+IF($M$76="x",2)+J353+IF($M$85="x",1)+IF($M$113="x",1)+IF($M$120="x",2)+IF($M$119="x",2)+IF($M$105="x",1)+IF($M$110="x",1)+IF($M$111="x",2)+IF($M$112="x",4)+IF($M$108="x",1)-IF($M$109="x",1)-IF($M$99="x",1)+IF($M$90="x",1)
&amp;"/"&amp;SUM($C$3,$I$2)-$C$120+IF($C$75="x",2)+$I$16-$B$10+$M$94+IF($C$77="x",2)-IF($C$78="x",4)-IF($I$78="x",1)-IF($C$79="x",4)+IF($C$80="x",1)-IF($I$77="x",2)-IF($I$90="x",2)+IF($I$83="x",2)-IF($C$83="x",4)-$C$112-15+IF(H659="x",1)+IF(H353="x",1)+I353+$M$77+IF(H355="x",1)+IF(J355="x",1)+IF($M$76="x",2)+J353+IF($M$85="x",1)+IF($M$113="x",1)+IF($M$120="x",2)+IF($M$119="x",2)+IF($M$105="x",1)+IF($M$110="x",1)+IF($M$111="x",2)+IF($M$112="x",4)+IF($M$108="x",1)-IF($M$109="x",1)-IF($M$99="x",1)+IF($M$90="x",1))))))</f>
        <v>0</v>
      </c>
      <c r="C353" s="49" t="str">
        <f>_xlfn.IFS($C$7="Minimaalinen","1",$C$7="Taskukokoinen","1n2",$C$7="Hyvin pieni","1n3",$C$7="Pieni","1n4",$C$7="Keskikokoinen","1n6",$C$7="Iso","1n8",$C$7="Valtava","2n6",$C$7="Suunnaton","3n6",$C$7="Giganttinen","4n6")</f>
        <v>1n6</v>
      </c>
      <c r="D353" s="18">
        <f>SUM($I$2+$C$120)+I353+$M$77+IF(I355="x",2)+IF(K355="x",2)+IF($M$119="x",2)+IF($M$108="x",1)+$M$94-IF($M$109="x",1)+K353</f>
        <v>0</v>
      </c>
      <c r="E353" s="49" t="str">
        <f>_xlfn.IFS($C$7="Minimaalinen","2",$C$7="Taskukokoinen","2n2",$C$7="Hyvin pieni","2n3",$C$7="Pieni","2n4",$C$7="Keskikokoinen","2n6",$C$7="Iso","2n8",$C$7="Valtava","4n6",$C$7="Suunnaton","6n6",$C$7="Giganttinen","8n6")</f>
        <v>2n6</v>
      </c>
      <c r="F353" s="12">
        <f>SUM(D353*2)</f>
        <v>0</v>
      </c>
      <c r="G353" s="12" t="str">
        <f>(IF($I$89="x","50 %","")&amp;(IF($C$81="x","20 %",""))&amp;(IF($C$82="x","50 %","")))</f>
        <v/>
      </c>
      <c r="H353" s="28"/>
      <c r="I353" s="17">
        <v>0</v>
      </c>
      <c r="J353" s="17">
        <v>0</v>
      </c>
      <c r="K353" s="17">
        <v>0</v>
      </c>
      <c r="AB353" s="50"/>
      <c r="AC353" s="51"/>
      <c r="AD353" s="40"/>
      <c r="AE353" s="51"/>
      <c r="AF353" s="40"/>
      <c r="AG353" s="49"/>
      <c r="AH353" s="49"/>
      <c r="AI353" s="48"/>
      <c r="AJ353" s="48"/>
      <c r="AK353" s="48"/>
      <c r="AL353" s="48"/>
    </row>
    <row r="354" spans="1:38" x14ac:dyDescent="0.2">
      <c r="A354" s="58" t="s">
        <v>8</v>
      </c>
      <c r="B354" s="119">
        <f>IF($I$85="x","PAINISSA",IF($C$3&lt;=5,SUM($C$3,$I$2)-$C$120+IF($C$75="x",2)+$I$16-$B$10+$M$94+IF($C$77="x",2)-IF($C$78="x",4)-IF($I$78="x",1)-IF($C$79="x",4)+IF($C$80="x",1)-IF($I$77="x",2)-IF($I$90="x",2)+IF($I$83="x",2)-IF($C$75="x",4)-$C$112+IF(H353="x",1)+I353+$M$77+IF(H355="x",1)+IF(J355="x",1)+IF($M$76="x",2)+J353+IF($M$85="x",1)+IF($M$113="x",1)+IF($M$120="x",2)+IF($M$119="x",2)+IF($M$105="x",1)+IF($M$110="x",1)+IF($M$111="x",2)+IF($M$112="x",4)+IF($M$108="x",1)-IF($M$109="x",1)-IF($M$99="x",1)+IF($M$90="x",1),
IF(AND($C$3&gt;5,$C$3&lt;11),SUM($C$3,$I$2)-$C$120+IF($C$75="x",2)+$I$16-$B$10+$M$94+IF($C$77="x",2)-IF($C$78="x",4)-IF($I$78="x",1)-IF($C$79="x",4)+IF($C$80="x",1)-IF($I$77="x",2)-IF($I$90="x",2)+IF($I$83="x",2)-IF($C$83="x",4)-$C$112+IF(H353="x",1)+I353+$M$77+IF(H355="x",1)+IF(J355="x",1)+IF($M$76="x",2)+J353+IF($M$85="x",1)+IF($M$113="x",1)+IF($M$120="x",2)+IF($M$119="x",2)+IF($M$105="x",1)+IF($M$110="x",1)+IF($M$111="x",2)+IF($M$112="x",4)+IF($M$108="x",1)-IF($M$109="x",1)-IF($M$99="x",1)+IF($M$90="x",1)
&amp;"/"&amp;SUM($C$3,$I$2)-$C$120+IF($C$75="x",2)+$I$16-$B$10+$M$94+IF($C$77="x",2)-IF($C$78="x",4)-IF($I$78="x",1)-IF($C$79="x",4)+IF($C$80="x",1)-IF($I$77="x",2)-IF($I$90="x",2)+IF($I$83="x",2)-IF($C$83="x",4)-$C$112-5+IF(H353="x",1)+I353+$M$77+IF(H355="x",1)+IF(J355="x",1)+IF($M$76="x",2)+J353+IF($M$85="x",1)+IF($M$113="x",1)+IF($M$120="x",2)+IF($M$119="x",2)+IF($M$105="x",1)+IF($M$110="x",1)+IF($M$111="x",2)+IF($M$112="x",4)+IF($M$108="x",1)-IF($M$109="x",1)-IF($M$99="x",1)+IF($M$90="x",1),
IF(AND($C$3&gt;10,$C$3&lt;16),SUM($C$3,$I$2)-$C$120+IF($C$75="x",2)+$I$16-$B$10+$M$94+IF($C$77="x",2)-IF($C$78="x",4)-IF($I$78="x",1)-IF($C$79="x",4)+IF($C$80="x",1)-IF($I$77="x",2)-IF($I$90="x",2)+IF($I$83="x",2)-IF($C$83="x",4)-$C$112+IF(H353="x",1)+I353+$M$77+IF(H355="x",1)+IF(J355="x",1)+IF($M$76="x",2)+J353+IF($M$85="x",1)+IF($M$113="x",1)+IF($M$120="x",2)+IF($M$119="x",2)+IF($M$105="x",1)+IF($M$110="x",1)+IF($M$111="x",2)+IF($M$112="x",4)+IF($M$108="x",1)-IF($M$109="x",1)+IF($M$99="x",20)-IF($M$99="x",1)+IF($M$90="x",1)
&amp;"/"&amp;SUM($C$3,$I$2)-$C$120+IF($C$75="x",2)+$I$16-$B$10+$M$94+IF($C$77="x",2)-IF($C$78="x",4)-IF($I$78="x",1)-IF($C$79="x",4)+IF($C$80="x",1)-IF($I$77="x",2)-IF($I$90="x",2)+IF($I$83="x",2)-IF($C$83="x",4)-$C$112-5+IF(H659="x",1)+IF(H353="x",1)+I353+$M$77+IF(H355="x",1)+IF(J355="x",1)+IF($M$76="x",2)+J353+IF($M$85="x",1)+IF($M$113="x",1)+IF($M$120="x",2)+IF($M$119="x",2)+IF($M$105="x",1)+IF($M$110="x",1)+IF($M$111="x",2)+IF($M$112="x",4)+IF($M$108="x",1)-IF($M$109="x",1)-IF($M$99="x",1)+IF($M$90="x",1)
&amp;"/"&amp;SUM($C$3,$I$2)-$C$120+IF($C$75="x",2)+$I$16-$B$10+$M$94+IF($C$77="x",2)-IF($C$78="x",4)-IF($I$78="x",1)-IF($C$79="x",4)+IF($C$80="x",1)-IF($I$77="x",2)-IF($I$90="x",2)+IF($I$83="x",2)-IF($C$83="x",4)-$C$112-10+IF(H659="x",1)+IF(H353="x",1)+I353+$M$77+IF(H355="x",1)+IF(J355="x",1)+IF($M$76="x",2)+J353+IF($M$85="x",1)+IF($M$113="x",1)+IF($M$120="x",2)+IF($M$119="x",2)+IF($M$105="x",1)+IF($M$110="x",1)+IF($M$111="x",2)+IF($M$112="x",4)+IF($M$108="x",1)-IF($M$109="x",1)-IF($M$99="x",1)+IF($M$90="x",1),
IF(AND($C$3&gt;15),SUM($C$3,$I$2)-$C$120+IF($C$75="x",2)+$I$16-$B$10+$M$94+IF($C$77="x",2)-IF($C$78="x",4)-IF($I$78="x",1)-IF($C$79="x",4)+IF($C$80="x",1)-IF($I$77="x",2)-IF($I$90="x",2)+IF($I$83="x",2)-IF($C$83="x",4)-$C$112+IF(H353="x",1)+I353+$M$77+IF(H355="x",1)+IF(J355="x",1)+IF($M$76="x",2)+J353+IF($M$85="x",1)+IF($M$113="x",1)+IF($M$120="x",2)+IF($M$119="x",2)+IF($M$105="x",1)+IF($M$110="x",1)+IF($M$111="x",2)+IF($M$112="x",4)+IF($M$108="x",1)-IF($M$109="x",1)-IF($M$99="x",1)+IF($M$90="x",1)
&amp;"/"&amp;SUM($C$3,$I$2)-$C$120+IF($C$75="x",2)+$I$16-$B$10+$M$94+IF($C$77="x",2)-IF($C$78="x",4)-IF($I$78="x",1)-IF($C$79="x",4)+IF($C$80="x",1)-IF($I$77="x",2)-IF($I$90="x",2)+IF($I$83="x",2)-IF($C$83="x",4)-$C$112-5+IF(H659="x",1)+IF(H353="x",1)+I353+$M$77+IF(H355="x",1)+IF(J355="x",1)+IF($M$76="x",2)+J353+IF($M$85="x",1)+IF($M$113="x",1)+IF($M$120="x",2)+IF($M$119="x",2)+IF($M$105="x",1)+IF($M$110="x",1)+IF($M$111="x",2)+IF($M$112="x",4)+IF($M$108="x",1)-IF($M$109="x",1)-IF($M$99="x",1)+IF($M$90="x",1)
&amp;"/"&amp;SUM($C$3,$I$2)-$C$120+IF($C$75="x",2)+$I$16-$B$10+$M$94+IF($C$77="x",2)-IF($C$78="x",4)-IF($I$78="x",1)-IF($C$79="x",4)+IF($C$80="x",1)-IF($I$77="x",2)-IF($I$90="x",2)+IF($I$83="x",2)-IF($C$83="x",4)-$C$112-10+IF(H659="x",1)+IF(H353="x",1)+I353+$M$77+IF(H355="x",1)+IF(J355="x",1)+IF($M$76="x",2)+J353+IF($M$85="x",1)+IF($M$113="x",1)+IF($M$120="x",2)+IF($M$119="x",2)+IF($M$105="x",1)+IF($M$110="x",1)+IF($M$111="x",2)+IF($M$112="x",4)+IF($M$108="x",1)-IF($M$109="x",1)-IF($M$99="x",1)+IF($M$90="x",1)
&amp;"/"&amp;SUM($C$3,$I$2)-$C$120+IF($C$75="x",2)+$I$16-$B$10+$M$94+IF($C$77="x",2)-IF($C$78="x",4)-IF($I$78="x",1)-IF($C$79="x",4)+IF($C$80="x",1)-IF($I$77="x",2)-IF($I$90="x",2)+IF($I$83="x",2)-IF($C$83="x",4)-$C$112-15+IF(H659="x",1)+IF(H353="x",1)+I353+$M$77+IF(H355="x",1)+IF(J355="x",1)+IF($M$76="x",2)+J353+IF($M$85="x",1)+IF($M$113="x",1)+IF($M$120="x",2)+IF($M$119="x",2)+IF($M$105="x",1)+IF($M$110="x",1)+IF($M$111="x",2)+IF($M$112="x",4)+IF($M$108="x",1)-IF($M$109="x",1)-IF($M$99="x",1)+IF($M$90="x",1))))))</f>
        <v>0</v>
      </c>
      <c r="C354" s="114" t="str">
        <f>_xlfn.IFS($C$7="Minimaalinen","1",$C$7="Taskukokoinen","1n2",$C$7="Hyvin pieni","1n3",$C$7="Pieni","1n4",$C$7="Keskikokoinen","1n6",$C$7="Iso","1n8",$C$7="Valtava","2n6",$C$7="Suunnaton","3n6",$C$7="Giganttinen","4n6")</f>
        <v>1n6</v>
      </c>
      <c r="D354" s="119">
        <f>IF($I$2&lt;0,$I$2,INT($I$2*1.5))+($C$120*2)+I353+$M$77+IF(I355="x",2)+IF(K355="x",2)+IF($M$119="x",2)+IF($M$108="x",1)+$M$94-IF($M$109="x",1)+K353</f>
        <v>0</v>
      </c>
      <c r="E354" s="114" t="str">
        <f>_xlfn.IFS($C$7="Minimaalinen","2",$C$7="Taskukokoinen","2n2",$C$7="Hyvin pieni","2n3",$C$7="Pieni","2n4",$C$7="Keskikokoinen","2n6",$C$7="Iso","2n8",$C$7="Valtava","4n6",$C$7="Suunnaton","6n6",$C$7="Giganttinen","8n6")</f>
        <v>2n6</v>
      </c>
      <c r="F354" s="120">
        <f>SUM(D354*2)</f>
        <v>0</v>
      </c>
      <c r="G354" s="120" t="str">
        <f>(IF($I$89="x","50 %","")&amp;(IF($C$81="x","20 %",""))&amp;(IF($C$82="x","50 %","")))</f>
        <v/>
      </c>
      <c r="H354" s="14" t="s">
        <v>220</v>
      </c>
      <c r="I354" s="14" t="s">
        <v>221</v>
      </c>
      <c r="J354" s="14" t="s">
        <v>222</v>
      </c>
      <c r="K354" s="14" t="s">
        <v>223</v>
      </c>
      <c r="AB354" s="52"/>
      <c r="AC354" s="53"/>
      <c r="AD354" s="54"/>
      <c r="AE354" s="53"/>
      <c r="AF354" s="54"/>
      <c r="AG354" s="54"/>
      <c r="AH354" s="53"/>
      <c r="AI354" s="40"/>
      <c r="AJ354" s="40"/>
      <c r="AK354" s="40"/>
      <c r="AL354" s="40"/>
    </row>
    <row r="355" spans="1:38" x14ac:dyDescent="0.2">
      <c r="A355" s="133" t="s">
        <v>438</v>
      </c>
      <c r="B355" s="121">
        <f>IF($I$85="x","PAINISSA",IF($C$3&lt;=5,SUM($C$3,$I$2)-$C$120+IF($C$75="x",2)+$I$16-$B$10+$M$94+IF($C$77="x",2)-IF($C$78="x",4)-IF($I$78="x",1)-IF($C$79="x",4)+IF($C$80="x",1)-IF($I$77="x",2)-IF($I$90="x",2)+IF($I$83="x",2)-IF($C$75="x",4)-$C$112+IF(H353="x",1)+I353+$M$77+IF(H355="x",1)+IF(J355="x",1)+IF($M$76="x",2)+J353+IF($M$85="x",1)+IF($M$113="x",1)+IF($M$120="x",2)+IF($M$119="x",2)+IF($M$105="x",1)+IF($M$110="x",1)+IF($M$111="x",2)+IF($M$112="x",4)+IF($M$108="x",1)-IF($M$109="x",1)-IF($M$99="x",1)+IF($M$90="x",1)-IF($C$97="x",2,4),
IF(AND($C$3&gt;5,$C$3&lt;11),SUM($C$3,$I$2)-$C$120+IF($C$75="x",2)+$I$16-$B$10+$M$94+IF($C$77="x",2)-IF($C$78="x",4)-IF($I$78="x",1)-IF($C$79="x",4)+IF($C$80="x",1)-IF($I$77="x",2)-IF($I$90="x",2)+IF($I$83="x",2)-IF($C$83="x",4)-$C$112+IF(H353="x",1)+I353+$M$77+IF(H355="x",1)+IF(J355="x",1)+IF($M$76="x",2)+J353+IF($M$85="x",1)+IF($M$113="x",1)+IF($M$120="x",2)+IF($M$119="x",2)+IF($M$105="x",1)+IF($M$110="x",1)+IF($M$111="x",2)+IF($M$112="x",4)+IF($M$108="x",1)-IF($M$109="x",1)-IF($M$99="x",1)+IF($M$90="x",1)-IF($C$97="x",2,4)
&amp;"/"&amp;SUM($C$3,$I$2)-$C$120+IF($C$75="x",2)+$I$16-$B$10+$M$94+IF($C$77="x",2)-IF($C$78="x",4)-IF($I$78="x",1)-IF($C$79="x",4)+IF($C$80="x",1)-IF($I$77="x",2)-IF($I$90="x",2)+IF($I$83="x",2)-IF($C$83="x",4)-$C$112-5+IF(H353="x",1)+I353+$M$77+IF(H355="x",1)+IF(J355="x",1)+IF($M$76="x",2)+J353+IF($M$85="x",1)+IF($M$113="x",1)+IF($M$120="x",2)+IF($M$119="x",2)+IF($M$105="x",1)+IF($M$110="x",1)+IF($M$111="x",2)+IF($M$112="x",4)+IF($M$108="x",1)-IF($M$109="x",1)-IF($M$99="x",1)+IF($M$90="x",1)-IF($C$97="x",2,4),
IF(AND($C$3&gt;10,$C$3&lt;16),SUM($C$3,$I$2)-$C$120+IF($C$75="x",2)+$I$16-$B$10+$M$94+IF($C$77="x",2)-IF($C$78="x",4)-IF($I$78="x",1)-IF($C$79="x",4)+IF($C$80="x",1)-IF($I$77="x",2)-IF($I$90="x",2)+IF($I$83="x",2)-IF($C$83="x",4)-$C$112+IF(H353="x",1)+I353+$M$77+IF(H355="x",1)+IF(J355="x",1)+IF($M$76="x",2)+J353+IF($M$85="x",1)+IF($M$113="x",1)+IF($M$120="x",2)+IF($M$119="x",2)+IF($M$105="x",1)+IF($M$110="x",1)+IF($M$111="x",2)+IF($M$112="x",4)+IF($M$108="x",1)-IF($M$109="x",1)+IF($M$99="x",20)-IF($M$99="x",1)+IF($M$90="x",1)-IF($C$97="x",2,4)
&amp;"/"&amp;SUM($C$3,$I$2)-$C$120+IF($C$75="x",2)+$I$16-$B$10+$M$94+IF($C$77="x",2)-IF($C$78="x",4)-IF($I$78="x",1)-IF($C$79="x",4)+IF($C$80="x",1)-IF($I$77="x",2)-IF($I$90="x",2)+IF($I$83="x",2)-IF($C$83="x",4)-$C$112-5+IF(H659="x",1)+IF(H353="x",1)+I353+$M$77+IF(H355="x",1)+IF(J355="x",1)+IF($M$76="x",2)+J353+IF($M$85="x",1)+IF($M$113="x",1)+IF($M$120="x",2)+IF($M$119="x",2)+IF($M$105="x",1)+IF($M$110="x",1)+IF($M$111="x",2)+IF($M$112="x",4)+IF($M$108="x",1)-IF($M$109="x",1)-IF($M$99="x",1)+IF($M$90="x",1)-IF($C$97="x",2,4)
&amp;"/"&amp;SUM($C$3,$I$2)-$C$120+IF($C$75="x",2)+$I$16-$B$10+$M$94+IF($C$77="x",2)-IF($C$78="x",4)-IF($I$78="x",1)-IF($C$79="x",4)+IF($C$80="x",1)-IF($I$77="x",2)-IF($I$90="x",2)+IF($I$83="x",2)-IF($C$83="x",4)-$C$112-10+IF(H659="x",1)+IF(H353="x",1)+I353+$M$77+IF(H355="x",1)+IF(J355="x",1)+IF($M$76="x",2)+J353+IF($M$85="x",1)+IF($M$113="x",1)+IF($M$120="x",2)+IF($M$119="x",2)+IF($M$105="x",1)+IF($M$110="x",1)+IF($M$111="x",2)+IF($M$112="x",4)+IF($M$108="x",1)-IF($M$109="x",1)-IF($M$99="x",1)+IF($M$90="x",1)-IF($C$97="x",2,4),
IF(AND($C$3&gt;15),SUM($C$3,$I$2)-$C$120+IF($C$75="x",2)+$I$16-$B$10+$M$94+IF($C$77="x",2)-IF($C$78="x",4)-IF($I$78="x",1)-IF($C$79="x",4)+IF($C$80="x",1)-IF($I$77="x",2)-IF($I$90="x",2)+IF($I$83="x",2)-IF($C$83="x",4)-$C$112+IF(H353="x",1)+I353+$M$77+IF(H355="x",1)+IF(J355="x",1)+IF($M$76="x",2)+J353+IF($M$85="x",1)+IF($M$113="x",1)+IF($M$120="x",2)+IF($M$119="x",2)+IF($M$105="x",1)+IF($M$110="x",1)+IF($M$111="x",2)+IF($M$112="x",4)+IF($M$108="x",1)-IF($M$109="x",1)-IF($M$99="x",1)+IF($M$90="x",1)-IF($C$97="x",2,4)
&amp;"/"&amp;SUM($C$3,$I$2)-$C$120+IF($C$75="x",2)+$I$16-$B$10+$M$94+IF($C$77="x",2)-IF($C$78="x",4)-IF($I$78="x",1)-IF($C$79="x",4)+IF($C$80="x",1)-IF($I$77="x",2)-IF($I$90="x",2)+IF($I$83="x",2)-IF($C$83="x",4)-$C$112-5+IF(H659="x",1)+IF(H353="x",1)+I353+$M$77+IF(H355="x",1)+IF(J355="x",1)+IF($M$76="x",2)+J353+IF($M$85="x",1)+IF($M$113="x",1)+IF($M$120="x",2)+IF($M$119="x",2)+IF($M$105="x",1)+IF($M$110="x",1)+IF($M$111="x",2)+IF($M$112="x",4)+IF($M$108="x",1)-IF($M$109="x",1)-IF($M$99="x",1)+IF($M$90="x",1)-IF($C$97="x",2,4)
&amp;"/"&amp;SUM($C$3,$I$2)-$C$120+IF($C$75="x",2)+$I$16-$B$10+$M$94+IF($C$77="x",2)-IF($C$78="x",4)-IF($I$78="x",1)-IF($C$79="x",4)+IF($C$80="x",1)-IF($I$77="x",2)-IF($I$90="x",2)+IF($I$83="x",2)-IF($C$83="x",4)-$C$112-10+IF(H659="x",1)+IF(H353="x",1)+I353+$M$77+IF(H355="x",1)+IF(J355="x",1)+IF($M$76="x",2)+J353+IF($M$85="x",1)+IF($M$113="x",1)+IF($M$120="x",2)+IF($M$119="x",2)+IF($M$105="x",1)+IF($M$110="x",1)+IF($M$111="x",2)+IF($M$112="x",4)+IF($M$108="x",1)-IF($M$109="x",1)-IF($M$99="x",1)+IF($M$90="x",1)-IF($C$97="x",2,4)
&amp;"/"&amp;SUM($C$3,$I$2)-$C$120+IF($C$75="x",2)+$I$16-$B$10+$M$94+IF($C$77="x",2)-IF($C$78="x",4)-IF($I$78="x",1)-IF($C$79="x",4)+IF($C$80="x",1)-IF($I$77="x",2)-IF($I$90="x",2)+IF($I$83="x",2)-IF($C$83="x",4)-$C$112-15+IF(H659="x",1)+IF(H353="x",1)+I353+$M$77+IF(H355="x",1)+IF(J355="x",1)+IF($M$76="x",2)+J353+IF($M$85="x",1)+IF($M$113="x",1)+IF($M$120="x",2)+IF($M$119="x",2)+IF($M$105="x",1)+IF($M$110="x",1)+IF($M$111="x",2)+IF($M$112="x",4)+IF($M$108="x",1)-IF($M$109="x",1)-IF($M$99="x",1)+IF($M$90="x",1)-IF($C$97="x",2,4))))))</f>
        <v>-4</v>
      </c>
      <c r="C355" s="49" t="str">
        <f>_xlfn.IFS($C$7="Minimaalinen","1",$C$7="Taskukokoinen","1n2",$C$7="Hyvin pieni","1n3",$C$7="Pieni","1n4",$C$7="Keskikokoinen","1n6",$C$7="Iso","1n8",$C$7="Valtava","2n6",$C$7="Suunnaton","3n6",$C$7="Giganttinen","4n6")</f>
        <v>1n6</v>
      </c>
      <c r="D355" s="121">
        <f>SUM($I$2+$C$120)+I353+$M$77+IF(I355="x",2)+IF(K355="x",2)+IF($M$119="x",2)+IF($M$108="x",1)+$M$94-IF($M$109="x",1)+K353</f>
        <v>0</v>
      </c>
      <c r="E355" s="49" t="str">
        <f>_xlfn.IFS($C$7="Minimaalinen","2",$C$7="Taskukokoinen","2n2",$C$7="Hyvin pieni","2n3",$C$7="Pieni","2n4",$C$7="Keskikokoinen","2n6",$C$7="Iso","2n8",$C$7="Valtava","4n6",$C$7="Suunnaton","6n6",$C$7="Giganttinen","8n6")</f>
        <v>2n6</v>
      </c>
      <c r="F355" s="12">
        <f>SUM(D355*2)</f>
        <v>0</v>
      </c>
      <c r="G355" s="82" t="str">
        <f>(IF($I$89="x","50 %","")&amp;(IF($C$81="x","20 %",""))&amp;(IF($C$82="x","50 %","")))</f>
        <v/>
      </c>
      <c r="H355" s="28"/>
      <c r="I355" s="28"/>
      <c r="J355" s="28"/>
      <c r="K355" s="28"/>
      <c r="AB355" s="50"/>
      <c r="AC355" s="50"/>
      <c r="AD355" s="50"/>
      <c r="AE355" s="50"/>
      <c r="AF355" s="50"/>
      <c r="AG355" s="50"/>
      <c r="AH355" s="50"/>
      <c r="AI355" s="50"/>
      <c r="AJ355" s="50"/>
      <c r="AK355" s="50"/>
      <c r="AL355" s="50"/>
    </row>
    <row r="356" spans="1:38" x14ac:dyDescent="0.2">
      <c r="A356" s="133" t="s">
        <v>437</v>
      </c>
      <c r="B356" s="82">
        <f>IF($I$85="x","PAINISSA",IF($C$3&lt;=5,SUM($C$3,$I$2)-$C$120+IF($C$75="x",2)+$I$16-$B$10+$M$94+IF($C$77="x",2)-IF($C$78="x",4)-IF($I$78="x",1)-IF($C$79="x",4)+IF($C$80="x",1)-IF($I$77="x",2)-IF($I$90="x",2)+IF($I$83="x",2)-IF($C$75="x",4)-$C$112+IF(H353="x",1)+I353+$M$77+IF(H355="x",1)+IF(J355="x",1)+IF($M$76="x",2)+J353+IF($M$85="x",1)+IF($M$113="x",1)+IF($M$120="x",2)+IF($M$119="x",2)+IF($M$105="x",1)+IF($M$110="x",1)+IF($M$111="x",2)+IF($M$112="x",4)+IF($M$108="x",1)-IF($M$109="x",1)-IF($M$99="x",1)+IF($M$90="x",1)-IF($C$97="x",4,6),
IF(AND($C$3&gt;5,$C$3&lt;11),SUM($C$3,$I$2)-$C$120+IF($C$75="x",2)+$I$16-$B$10+$M$94+IF($C$77="x",2)-IF($C$78="x",4)-IF($I$78="x",1)-IF($C$79="x",4)+IF($C$80="x",1)-IF($I$77="x",2)-IF($I$90="x",2)+IF($I$83="x",2)-IF($C$83="x",4)-$C$112+IF(H353="x",1)+I353+$M$77+IF(H355="x",1)+IF(J355="x",1)+IF($M$76="x",2)+J353+IF($M$85="x",1)+IF($M$113="x",1)+IF($M$120="x",2)+IF($M$119="x",2)+IF($M$105="x",1)+IF($M$110="x",1)+IF($M$111="x",2)+IF($M$112="x",4)+IF($M$108="x",1)-IF($M$109="x",1)-IF($M$99="x",1)+IF($M$90="x",1)-IF($C$97="x",4,6)
&amp;"/"&amp;SUM($C$3,$I$2)-$C$120+IF($C$75="x",2)+$I$16-$B$10+$M$94+IF($C$77="x",2)-IF($C$78="x",4)-IF($I$78="x",1)-IF($C$79="x",4)+IF($C$80="x",1)-IF($I$77="x",2)-IF($I$90="x",2)+IF($I$83="x",2)-IF($C$83="x",4)-$C$112-5+IF(H353="x",1)+I353+$M$77+IF(H355="x",1)+IF(J355="x",1)+IF($M$76="x",2)+J353+IF($M$85="x",1)+IF($M$113="x",1)+IF($M$120="x",2)+IF($M$119="x",2)+IF($M$105="x",1)+IF($M$110="x",1)+IF($M$111="x",2)+IF($M$112="x",4)+IF($M$108="x",1)-IF($M$109="x",1)-IF($M$99="x",1)+IF($M$90="x",1)-IF($C$97="x",4,6),
IF(AND($C$3&gt;10,$C$3&lt;16),SUM($C$3,$I$2)-$C$120+IF($C$75="x",2)+$I$16-$B$10+$M$94+IF($C$77="x",2)-IF($C$78="x",4)-IF($I$78="x",1)-IF($C$79="x",4)+IF($C$80="x",1)-IF($I$77="x",2)-IF($I$90="x",2)+IF($I$83="x",2)-IF($C$83="x",4)-$C$112+IF(H353="x",1)+I353+$M$77+IF(H355="x",1)+IF(J355="x",1)+IF($M$76="x",2)+J353+IF($M$85="x",1)+IF($M$113="x",1)+IF($M$120="x",2)+IF($M$119="x",2)+IF($M$105="x",1)+IF($M$110="x",1)+IF($M$111="x",2)+IF($M$112="x",4)+IF($M$108="x",1)-IF($M$109="x",1)+IF($M$99="x",20)-IF($M$99="x",1)+IF($M$90="x",1)-IF($C$97="x",4,6)
&amp;"/"&amp;SUM($C$3,$I$2)-$C$120+IF($C$75="x",2)+$I$16-$B$10+$M$94+IF($C$77="x",2)-IF($C$78="x",4)-IF($I$78="x",1)-IF($C$79="x",4)+IF($C$80="x",1)-IF($I$77="x",2)-IF($I$90="x",2)+IF($I$83="x",2)-IF($C$83="x",4)-$C$112-5+IF(H659="x",1)+IF(H353="x",1)+I353+$M$77+IF(H355="x",1)+IF(J355="x",1)+IF($M$76="x",2)+J353+IF($M$85="x",1)+IF($M$113="x",1)+IF($M$120="x",2)+IF($M$119="x",2)+IF($M$105="x",1)+IF($M$110="x",1)+IF($M$111="x",2)+IF($M$112="x",4)+IF($M$108="x",1)-IF($M$109="x",1)-IF($M$99="x",1)+IF($M$90="x",1)-IF($C$97="x",4,6)
&amp;"/"&amp;SUM($C$3,$I$2)-$C$120+IF($C$75="x",2)+$I$16-$B$10+$M$94+IF($C$77="x",2)-IF($C$78="x",4)-IF($I$78="x",1)-IF($C$79="x",4)+IF($C$80="x",1)-IF($I$77="x",2)-IF($I$90="x",2)+IF($I$83="x",2)-IF($C$83="x",4)-$C$112-10+IF(H659="x",1)+IF(H353="x",1)+I353+$M$77+IF(H355="x",1)+IF(J355="x",1)+IF($M$76="x",2)+J353+IF($M$85="x",1)+IF($M$113="x",1)+IF($M$120="x",2)+IF($M$119="x",2)+IF($M$105="x",1)+IF($M$110="x",1)+IF($M$111="x",2)+IF($M$112="x",4)+IF($M$108="x",1)-IF($M$109="x",1)-IF($M$99="x",1)+IF($M$90="x",1)-IF($C$97="x",4,6),
IF(AND($C$3&gt;15),SUM($C$3,$I$2)-$C$120+IF($C$75="x",2)+$I$16-$B$10+$M$94+IF($C$77="x",2)-IF($C$78="x",4)-IF($I$78="x",1)-IF($C$79="x",4)+IF($C$80="x",1)-IF($I$77="x",2)-IF($I$90="x",2)+IF($I$83="x",2)-IF($C$83="x",4)-$C$112+IF(H353="x",1)+I353+$M$77+IF(H355="x",1)+IF(J355="x",1)+IF($M$76="x",2)+J353+IF($M$85="x",1)+IF($M$113="x",1)+IF($M$120="x",2)+IF($M$119="x",2)+IF($M$105="x",1)+IF($M$110="x",1)+IF($M$111="x",2)+IF($M$112="x",4)+IF($M$108="x",1)-IF($M$109="x",1)-IF($M$99="x",1)+IF($M$90="x",1)-IF($C$97="x",4,6)
&amp;"/"&amp;SUM($C$3,$I$2)-$C$120+IF($C$75="x",2)+$I$16-$B$10+$M$94+IF($C$77="x",2)-IF($C$78="x",4)-IF($I$78="x",1)-IF($C$79="x",4)+IF($C$80="x",1)-IF($I$77="x",2)-IF($I$90="x",2)+IF($I$83="x",2)-IF($C$83="x",4)-$C$112-5+IF(H659="x",1)+IF(H353="x",1)+I353+$M$77+IF(H355="x",1)+IF(J355="x",1)+IF($M$76="x",2)+J353+IF($M$85="x",1)+IF($M$113="x",1)+IF($M$120="x",2)+IF($M$119="x",2)+IF($M$105="x",1)+IF($M$110="x",1)+IF($M$111="x",2)+IF($M$112="x",4)+IF($M$108="x",1)-IF($M$109="x",1)-IF($M$99="x",1)+IF($M$90="x",1)-IF($C$97="x",4,6)
&amp;"/"&amp;SUM($C$3,$I$2)-$C$120+IF($C$75="x",2)+$I$16-$B$10+$M$94+IF($C$77="x",2)-IF($C$78="x",4)-IF($I$78="x",1)-IF($C$79="x",4)+IF($C$80="x",1)-IF($I$77="x",2)-IF($I$90="x",2)+IF($I$83="x",2)-IF($C$83="x",4)-$C$112-10+IF(H659="x",1)+IF(H353="x",1)+I353+$M$77+IF(H355="x",1)+IF(J355="x",1)+IF($M$76="x",2)+J353+IF($M$85="x",1)+IF($M$113="x",1)+IF($M$120="x",2)+IF($M$119="x",2)+IF($M$105="x",1)+IF($M$110="x",1)+IF($M$111="x",2)+IF($M$112="x",4)+IF($M$108="x",1)-IF($M$109="x",1)-IF($M$99="x",1)+IF($M$90="x",1)-IF($C$97="x",4,6)
&amp;"/"&amp;SUM($C$3,$I$2)-$C$120+IF($C$75="x",2)+$I$16-$B$10+$M$94+IF($C$77="x",2)-IF($C$78="x",4)-IF($I$78="x",1)-IF($C$79="x",4)+IF($C$80="x",1)-IF($I$77="x",2)-IF($I$90="x",2)+IF($I$83="x",2)-IF($C$83="x",4)-$C$112-15+IF(H659="x",1)+IF(H353="x",1)+I353+$M$77+IF(H355="x",1)+IF(J355="x",1)+IF($M$76="x",2)+J353+IF($M$85="x",1)+IF($M$113="x",1)+IF($M$120="x",2)+IF($M$119="x",2)+IF($M$105="x",1)+IF($M$110="x",1)+IF($M$111="x",2)+IF($M$112="x",4)+IF($M$108="x",1)-IF($M$109="x",1)-IF($M$99="x",1)+IF($M$90="x",1)-IF($C$97="x",4,6))))))</f>
        <v>-6</v>
      </c>
      <c r="C356" s="49" t="str">
        <f>_xlfn.IFS($C$7="Minimaalinen","1",$C$7="Taskukokoinen","1n2",$C$7="Hyvin pieni","1n3",$C$7="Pieni","1n4",$C$7="Keskikokoinen","1n6",$C$7="Iso","1n8",$C$7="Valtava","2n6",$C$7="Suunnaton","3n6",$C$7="Giganttinen","4n6")</f>
        <v>1n6</v>
      </c>
      <c r="D356" s="121">
        <f>SUM($I$2+$C$120)+I353+$M$77+IF(I355="x",2)+IF(K355="x",2)+IF($M$119="x",2)+IF($M$108="x",1)+$M$94-IF($M$109="x",1)+K353</f>
        <v>0</v>
      </c>
      <c r="E356" s="49" t="str">
        <f>_xlfn.IFS($C$7="Minimaalinen","2",$C$7="Taskukokoinen","2n2",$C$7="Hyvin pieni","2n3",$C$7="Pieni","2n4",$C$7="Keskikokoinen","2n6",$C$7="Iso","2n8",$C$7="Valtava","4n6",$C$7="Suunnaton","6n6",$C$7="Giganttinen","8n6")</f>
        <v>2n6</v>
      </c>
      <c r="F356" s="12">
        <f>SUM(D356*2)</f>
        <v>0</v>
      </c>
      <c r="G356" s="82" t="str">
        <f>(IF($I$89="x","50 %","")&amp;(IF($C$81="x","20 %",""))&amp;(IF($C$82="x","50 %","")))</f>
        <v/>
      </c>
      <c r="H356" s="11"/>
      <c r="I356" s="131"/>
      <c r="J356" s="131"/>
      <c r="K356" s="131"/>
      <c r="AB356" s="50"/>
      <c r="AC356" s="50"/>
      <c r="AD356" s="50"/>
      <c r="AE356" s="50"/>
      <c r="AF356" s="50"/>
      <c r="AG356" s="50"/>
      <c r="AH356" s="50"/>
      <c r="AI356" s="50"/>
      <c r="AJ356" s="50"/>
      <c r="AK356" s="50"/>
      <c r="AL356" s="50"/>
    </row>
    <row r="357" spans="1:38" x14ac:dyDescent="0.2">
      <c r="A357" s="122" t="s">
        <v>436</v>
      </c>
      <c r="B357" s="123">
        <f>IF($I$85="x","PAINISSA",IF(AND($C$90="",$C$118=""),SUM($C$3,$I$2)-$C$120+IF($C$75="x",2)+$I$16-$B$10+$M$94+IF($C$77="x",2)-IF($C$78="x",4)-IF($I$78="x",1)-IF($C$79="x",4)+IF($C$80="x",1)-IF($I$77="x",2)-IF($I$90="x",2)+IF($I$83="x",2)-IF($C$75="x",4)-$C$112+IF(H353="x",1)+I353+$M$77+IF(H355="x",1)+IF(J355="x",1)+IF($M$76="x",2)+J353+IF($M$85="x",1)+IF($M$113="x",1)+IF($M$120="x",2)+IF($M$119="x",2)+IF($M$105="x",1)+IF($M$110="x",1)+IF($M$111="x",2)+IF($M$112="x",4)+IF($M$108="x",1)-IF($M$109="x",1)-IF($M$99="x",1)+IF($M$90="x",1)-IF($C$97="x",4,10),
IF(AND($C$90="x",$C$118=""),SUM($C$3,$I$2)-$C$120+IF($C$75="x",2)+$I$16-$B$10+$M$94+IF($C$77="x",2)-IF($C$78="x",4)-IF($I$78="x",1)-IF($C$79="x",4)+IF($C$80="x",1)-IF($I$77="x",2)-IF($I$90="x",2)+IF($I$83="x",2)-IF($C$83="x",4)-$C$112+IF(H353="x",1)+I353+$M$77+IF(H355="x",1)+IF(J355="x",1)+IF($M$76="x",2)+J353+IF($M$85="x",1)+IF($M$113="x",1)+IF($M$120="x",2)+IF($M$119="x",2)+IF($M$105="x",1)+IF($M$110="x",1)+IF($M$111="x",2)+IF($M$112="x",4)+IF($M$108="x",1)-IF($M$109="x",1)-IF($M$99="x",1)+IF($M$90="x",1)-IF($C$97="x",4,10)
&amp;"/"&amp;SUM($C$3,$I$2)-$C$120+IF($C$75="x",2)+$I$16-$B$10+$M$94+IF($C$77="x",2)-IF($C$78="x",4)-IF($I$78="x",1)-IF($C$79="x",4)+IF($C$80="x",1)-IF($I$77="x",2)-IF($I$90="x",2)+IF($I$83="x",2)-IF($C$83="x",4)-$C$112+IF(H353="x",1)+I353+$M$77+IF(H355="x",1)+IF(J355="x",1)+IF($M$76="x",2)+J353+IF($M$85="x",1)+IF($M$113="x",1)+IF($M$120="x",2)+IF($M$119="x",2)+IF($M$105="x",1)+IF($M$110="x",1)+IF($M$111="x",2)+IF($M$112="x",4)+IF($M$108="x",1)-IF($M$109="x",1)-IF($M$99="x",1)+IF($M$90="x",1)-IF($C$97="x",4,10)-5,
IF(AND($C$90="x",$C$118="x"),SUM($C$3,$I$2)-$C$120+IF($C$75="x",2)+$I$16-$B$10+$M$94+IF($C$77="x",2)-IF($C$78="x",4)-IF($I$78="x",1)-IF($C$79="x",4)+IF($C$80="x",1)-IF($I$77="x",2)-IF($I$90="x",2)+IF($I$83="x",2)-IF($C$83="x",4)-$C$112+IF(H353="x",1)+I353+$M$77+IF(H355="x",1)+IF(J355="x",1)+IF($M$76="x",2)+J353+IF($M$85="x",1)+IF($M$113="x",1)+IF($M$120="x",2)+IF($M$119="x",2)+IF($M$105="x",1)+IF($M$110="x",1)+IF($M$111="x",2)+IF($M$112="x",4)+IF($M$108="x",1)-IF($M$109="x",1)+IF($M$99="x",20)-IF($M$99="x",1)+IF($M$90="x",1)-IF($C$97="x",4,10)
&amp;"/"&amp;SUM($C$3,$I$2)-$C$120+IF($C$75="x",2)+$I$16-$B$10+$M$94+IF($C$77="x",2)-IF($C$78="x",4)-IF($I$78="x",1)-IF($C$79="x",4)+IF($C$80="x",1)-IF($I$77="x",2)-IF($I$90="x",2)+IF($I$83="x",2)-IF($C$83="x",4)-$C$112-5+IF(H353="x",1)+I353+$M$77+IF(H355="x",1)+IF(J355="x",1)+IF($M$76="x",2)+J353+IF($M$85="x",1)+IF($M$113="x",1)+IF($M$120="x",2)+IF($M$119="x",2)+IF($M$105="x",1)+IF($M$110="x",1)+IF($M$111="x",2)+IF($M$112="x",4)+IF($M$108="x",1)-IF($M$109="x",1)-IF($M$99="x",1)+IF($M$90="x",1)-IF($C$97="x",4,10)
&amp;"/"&amp;SUM($C$3,$I$2)-$C$120+IF($C$75="x",2)+$I$16-$B$10+$M$94+IF($C$77="x",2)-IF($C$78="x",4)-IF($I$78="x",1)-IF($C$79="x",4)+IF($C$80="x",1)-IF($I$77="x",2)-IF($I$90="x",2)+IF($I$83="x",2)-IF($C$83="x",4)-$C$112-10+IF(H353="x",1)+I353+$M$77+IF(H355="x",1)+IF(J355="x",1)+IF($M$76="x",2)+J353+IF($M$85="x",1)+IF($M$113="x",1)+IF($M$120="x",2)+IF($M$119="x",2)+IF($M$105="x",1)+IF($M$110="x",1)+IF($M$111="x",2)+IF($M$112="x",4)+IF($M$108="x",1)-IF($M$109="x",1)-IF($M$99="x",1)+IF($M$90="x",1)-IF($C$97="x",4,10)))))</f>
        <v>-10</v>
      </c>
      <c r="C357" s="54" t="str">
        <f>_xlfn.IFS($C$7="Minimaalinen","1",$C$7="Taskukokoinen","1n2",$C$7="Hyvin pieni","1n3",$C$7="Pieni","1n4",$C$7="Keskikokoinen","1n6",$C$7="Iso","1n8",$C$7="Valtava","2n6",$C$7="Suunnaton","3n6",$C$7="Giganttinen","4n6")</f>
        <v>1n6</v>
      </c>
      <c r="D357" s="123">
        <f>INT($I$2/2)+($C$120)+I353+$M$77+IF(I355="x",2)+IF(K355="x",2)+IF($M$119="x",2)+IF($M$108="x",1)+$M$94+K353-IF($M$109="x",1)</f>
        <v>0</v>
      </c>
      <c r="E357" s="54" t="str">
        <f>_xlfn.IFS($C$7="Minimaalinen","2",$C$7="Taskukokoinen","2n2",$C$7="Hyvin pieni","2n3",$C$7="Pieni","2n4",$C$7="Keskikokoinen","2n6",$C$7="Iso","2n8",$C$7="Valtava","4n6",$C$7="Suunnaton","6n6",$C$7="Giganttinen","8n6")</f>
        <v>2n6</v>
      </c>
      <c r="F357" s="124">
        <f>SUM(D357*2)</f>
        <v>0</v>
      </c>
      <c r="G357" s="124" t="str">
        <f>(IF($I$89="x","50 %","")&amp;(IF($C$81="x","20 %",""))&amp;(IF($C$82="x","50 %","")))</f>
        <v/>
      </c>
      <c r="H357" s="40"/>
      <c r="I357" s="138"/>
      <c r="J357" s="131"/>
      <c r="K357" s="135"/>
      <c r="AB357" s="46"/>
      <c r="AC357" s="48"/>
      <c r="AD357" s="48"/>
      <c r="AE357" s="48"/>
      <c r="AF357" s="48"/>
      <c r="AG357" s="48"/>
      <c r="AH357" s="48"/>
      <c r="AI357" s="48"/>
      <c r="AJ357" s="48"/>
      <c r="AK357" s="48"/>
      <c r="AL357" s="48"/>
    </row>
    <row r="358" spans="1:38" x14ac:dyDescent="0.2">
      <c r="B358" s="15"/>
      <c r="C358" s="15"/>
      <c r="D358" s="15"/>
      <c r="F358" s="15"/>
      <c r="G358" s="15"/>
      <c r="H358" s="15"/>
      <c r="I358" s="15"/>
      <c r="AC358" s="41"/>
      <c r="AD358" s="49"/>
      <c r="AE358" s="41"/>
      <c r="AF358" s="49"/>
      <c r="AG358" s="40"/>
      <c r="AH358" s="40"/>
      <c r="AI358" s="40"/>
      <c r="AJ358" s="40"/>
      <c r="AK358" s="40"/>
      <c r="AL358" s="40"/>
    </row>
    <row r="359" spans="1:38" x14ac:dyDescent="0.2">
      <c r="B359" s="15"/>
      <c r="C359" s="15"/>
      <c r="D359" s="15"/>
      <c r="F359" s="15"/>
      <c r="G359" s="15"/>
      <c r="H359" s="15"/>
      <c r="I359" s="15"/>
      <c r="AB359" s="50"/>
      <c r="AC359" s="51"/>
      <c r="AD359" s="49"/>
      <c r="AE359" s="51"/>
      <c r="AF359" s="49"/>
      <c r="AG359" s="49"/>
      <c r="AH359" s="49"/>
      <c r="AI359" s="48"/>
      <c r="AJ359" s="48"/>
      <c r="AK359" s="48"/>
      <c r="AL359" s="48"/>
    </row>
    <row r="360" spans="1:38" x14ac:dyDescent="0.2">
      <c r="A360" s="34" t="s">
        <v>311</v>
      </c>
      <c r="B360" s="130" t="s">
        <v>1</v>
      </c>
      <c r="C360" s="130" t="s">
        <v>2</v>
      </c>
      <c r="D360" s="130" t="s">
        <v>3</v>
      </c>
      <c r="E360" s="130" t="s">
        <v>229</v>
      </c>
      <c r="F360" s="130" t="s">
        <v>3</v>
      </c>
      <c r="G360" s="130" t="s">
        <v>45</v>
      </c>
      <c r="H360" s="14" t="s">
        <v>179</v>
      </c>
      <c r="I360" s="130" t="s">
        <v>242</v>
      </c>
      <c r="J360" s="130" t="s">
        <v>224</v>
      </c>
      <c r="K360" s="130" t="s">
        <v>225</v>
      </c>
      <c r="AB360" s="52"/>
      <c r="AC360" s="53"/>
      <c r="AD360" s="54"/>
      <c r="AE360" s="53"/>
      <c r="AF360" s="54"/>
      <c r="AG360" s="54"/>
      <c r="AH360" s="53"/>
      <c r="AI360" s="40"/>
      <c r="AJ360" s="40"/>
      <c r="AK360" s="40"/>
      <c r="AL360" s="40"/>
    </row>
    <row r="361" spans="1:38" x14ac:dyDescent="0.2">
      <c r="A361" s="131" t="s">
        <v>219</v>
      </c>
      <c r="B361" s="12">
        <f>IF($I$85="x","PAINISSA",IF($C$3&lt;=5,SUM($C$3,$I$2)-$C$120+IF($C$75="x",2)+$I$16-$B$10+$M$94+IF($C$77="x",2)-IF($C$78="x",4)-IF($I$78="x",1)-IF($C$79="x",4)+IF($C$80="x",1)-IF($I$77="x",2)-IF($I$90="x",2)+IF($I$83="x",2)-IF($C$75="x",4)-$C$112+IF(H361="x",1)+I361+$M$77+IF(H363="x",1)+IF(J363="x",1)+IF($M$76="x",2)+J361+IF($M$85="x",1)+IF($M$113="x",1)+IF($M$120="x",2)+IF($M$119="x",2)+IF($M$105="x",1)+IF($M$110="x",1)+IF($M$111="x",2)+IF($M$112="x",4)+IF($M$108="x",1)-IF($M$109="x",1)-IF($M$99="x",1)+IF($M$90="x",1),
IF(AND($C$3&gt;5,$C$3&lt;11),SUM($C$3,$I$2)-$C$120+IF($C$75="x",2)+$I$16-$B$10+$M$94+IF($C$77="x",2)-IF($C$78="x",4)-IF($I$78="x",1)-IF($C$79="x",4)+IF($C$80="x",1)-IF($I$77="x",2)-IF($I$90="x",2)+IF($I$83="x",2)-IF($C$83="x",4)-$C$112+IF(H361="x",1)+I361+$M$77+IF(H363="x",1)+IF(J363="x",1)+IF($M$76="x",2)+J361+IF($M$85="x",1)+IF($M$113="x",1)+IF($M$120="x",2)+IF($M$119="x",2)+IF($M$105="x",1)+IF($M$110="x",1)+IF($M$111="x",2)+IF($M$112="x",4)+IF($M$108="x",1)-IF($M$109="x",1)-IF($M$99="x",1)+IF($M$90="x",1)
&amp;"/"&amp;SUM($C$3,$I$2)-$C$120+IF($C$75="x",2)+$I$16-$B$10+$M$94+IF($C$77="x",2)-IF($C$78="x",4)-IF($I$78="x",1)-IF($C$79="x",4)+IF($C$80="x",1)-IF($I$77="x",2)-IF($I$90="x",2)+IF($I$83="x",2)-IF($C$83="x",4)-$C$112-5+IF(H361="x",1)+I361+$M$77+IF(H363="x",1)+IF(J363="x",1)+IF($M$76="x",2)+J361+IF($M$85="x",1)+IF($M$113="x",1)+IF($M$120="x",2)+IF($M$119="x",2)+IF($M$105="x",1)+IF($M$110="x",1)+IF($M$111="x",2)+IF($M$112="x",4)+IF($M$108="x",1)-IF($M$109="x",1)-IF($M$99="x",1)+IF($M$90="x",1),
IF(AND($C$3&gt;10,$C$3&lt;16),SUM($C$3,$I$2)-$C$120+IF($C$75="x",2)+$I$16-$B$10+$M$94+IF($C$77="x",2)-IF($C$78="x",4)-IF($I$78="x",1)-IF($C$79="x",4)+IF($C$80="x",1)-IF($I$77="x",2)-IF($I$90="x",2)+IF($I$83="x",2)-IF($C$83="x",4)-$C$112+IF(H361="x",1)+I361+$M$77+IF(H363="x",1)+IF(J363="x",1)+IF($M$76="x",2)+J361+IF($M$85="x",1)+IF($M$113="x",1)+IF($M$120="x",2)+IF($M$119="x",2)+IF($M$105="x",1)+IF($M$110="x",1)+IF($M$111="x",2)+IF($M$112="x",4)+IF($M$108="x",1)-IF($M$109="x",1)+IF($M$99="x",20)-IF($M$99="x",1)+IF($M$90="x",1)
&amp;"/"&amp;SUM($C$3,$I$2)-$C$120+IF($C$75="x",2)+$I$16-$B$10+$M$94+IF($C$77="x",2)-IF($C$78="x",4)-IF($I$78="x",1)-IF($C$79="x",4)+IF($C$80="x",1)-IF($I$77="x",2)-IF($I$90="x",2)+IF($I$83="x",2)-IF($C$83="x",4)-$C$112-5+IF(H779="x",1)+IF(H361="x",1)+I361+$M$77+IF(H363="x",1)+IF(J363="x",1)+IF($M$76="x",2)+J361+IF($M$85="x",1)+IF($M$113="x",1)+IF($M$120="x",2)+IF($M$119="x",2)+IF($M$105="x",1)+IF($M$110="x",1)+IF($M$111="x",2)+IF($M$112="x",4)+IF($M$108="x",1)-IF($M$109="x",1)-IF($M$99="x",1)+IF($M$90="x",1)
&amp;"/"&amp;SUM($C$3,$I$2)-$C$120+IF($C$75="x",2)+$I$16-$B$10+$M$94+IF($C$77="x",2)-IF($C$78="x",4)-IF($I$78="x",1)-IF($C$79="x",4)+IF($C$80="x",1)-IF($I$77="x",2)-IF($I$90="x",2)+IF($I$83="x",2)-IF($C$83="x",4)-$C$112-10+IF(H779="x",1)+IF(H361="x",1)+I361+$M$77+IF(H363="x",1)+IF(J363="x",1)+IF($M$76="x",2)+J361+IF($M$85="x",1)+IF($M$113="x",1)+IF($M$120="x",2)+IF($M$119="x",2)+IF($M$105="x",1)+IF($M$110="x",1)+IF($M$111="x",2)+IF($M$112="x",4)+IF($M$108="x",1)-IF($M$109="x",1)-IF($M$99="x",1)+IF($M$90="x",1),
IF(AND($C$3&gt;15),SUM($C$3,$I$2)-$C$120+IF($C$75="x",2)+$I$16-$B$10+$M$94+IF($C$77="x",2)-IF($C$78="x",4)-IF($I$78="x",1)-IF($C$79="x",4)+IF($C$80="x",1)-IF($I$77="x",2)-IF($I$90="x",2)+IF($I$83="x",2)-IF($C$83="x",4)-$C$112+IF(H361="x",1)+I361+$M$77+IF(H363="x",1)+IF(J363="x",1)+IF($M$76="x",2)+J361+IF($M$85="x",1)+IF($M$113="x",1)+IF($M$120="x",2)+IF($M$119="x",2)+IF($M$105="x",1)+IF($M$110="x",1)+IF($M$111="x",2)+IF($M$112="x",4)+IF($M$108="x",1)-IF($M$109="x",1)-IF($M$99="x",1)+IF($M$90="x",1)
&amp;"/"&amp;SUM($C$3,$I$2)-$C$120+IF($C$75="x",2)+$I$16-$B$10+$M$94+IF($C$77="x",2)-IF($C$78="x",4)-IF($I$78="x",1)-IF($C$79="x",4)+IF($C$80="x",1)-IF($I$77="x",2)-IF($I$90="x",2)+IF($I$83="x",2)-IF($C$83="x",4)-$C$112-5+IF(H779="x",1)+IF(H361="x",1)+I361+$M$77+IF(H363="x",1)+IF(J363="x",1)+IF($M$76="x",2)+J361+IF($M$85="x",1)+IF($M$113="x",1)+IF($M$120="x",2)+IF($M$119="x",2)+IF($M$105="x",1)+IF($M$110="x",1)+IF($M$111="x",2)+IF($M$112="x",4)+IF($M$108="x",1)-IF($M$109="x",1)-IF($M$99="x",1)+IF($M$90="x",1)
&amp;"/"&amp;SUM($C$3,$I$2)-$C$120+IF($C$75="x",2)+$I$16-$B$10+$M$94+IF($C$77="x",2)-IF($C$78="x",4)-IF($I$78="x",1)-IF($C$79="x",4)+IF($C$80="x",1)-IF($I$77="x",2)-IF($I$90="x",2)+IF($I$83="x",2)-IF($C$83="x",4)-$C$112-10+IF(H779="x",1)+IF(H361="x",1)+I361+$M$77+IF(H363="x",1)+IF(J363="x",1)+IF($M$76="x",2)+J361+IF($M$85="x",1)+IF($M$113="x",1)+IF($M$120="x",2)+IF($M$119="x",2)+IF($M$105="x",1)+IF($M$110="x",1)+IF($M$111="x",2)+IF($M$112="x",4)+IF($M$108="x",1)-IF($M$109="x",1)-IF($M$99="x",1)+IF($M$90="x",1)
&amp;"/"&amp;SUM($C$3,$I$2)-$C$120+IF($C$75="x",2)+$I$16-$B$10+$M$94+IF($C$77="x",2)-IF($C$78="x",4)-IF($I$78="x",1)-IF($C$79="x",4)+IF($C$80="x",1)-IF($I$77="x",2)-IF($I$90="x",2)+IF($I$83="x",2)-IF($C$83="x",4)-$C$112-15+IF(H779="x",1)+IF(H361="x",1)+I361+$M$77+IF(H363="x",1)+IF(J363="x",1)+IF($M$76="x",2)+J361+IF($M$85="x",1)+IF($M$113="x",1)+IF($M$120="x",2)+IF($M$119="x",2)+IF($M$105="x",1)+IF($M$110="x",1)+IF($M$111="x",2)+IF($M$112="x",4)+IF($M$108="x",1)-IF($M$109="x",1)-IF($M$99="x",1)+IF($M$90="x",1))))))</f>
        <v>0</v>
      </c>
      <c r="C361" s="49" t="str">
        <f>_xlfn.IFS($C$7="Minimaalinen","1",$C$7="Taskukokoinen","1n2",$C$7="Hyvin pieni","1n3",$C$7="Pieni","1n4",$C$7="Keskikokoinen","1n6",$C$7="Iso","1n8",$C$7="Valtava","2n6",$C$7="Suunnaton","3n6",$C$7="Giganttinen","4n6")</f>
        <v>1n6</v>
      </c>
      <c r="D361" s="132">
        <f>SUM($I$2+$C$120)+I361+$M$77+IF(I363="x",2)+IF(K363="x",2)+IF($M$119="x",2)+IF($M$108="x",1)+$M$94-IF($M$109="x",1)+K361</f>
        <v>0</v>
      </c>
      <c r="E361" s="49" t="str">
        <f>_xlfn.IFS($C$7="Minimaalinen","2",$C$7="Taskukokoinen","2n2",$C$7="Hyvin pieni","2n3",$C$7="Pieni","2n4",$C$7="Keskikokoinen","2n6",$C$7="Iso","2n8",$C$7="Valtava","4n6",$C$7="Suunnaton","6n6",$C$7="Giganttinen","8n6")</f>
        <v>2n6</v>
      </c>
      <c r="F361" s="12">
        <f>SUM(D361*2)</f>
        <v>0</v>
      </c>
      <c r="G361" s="12" t="str">
        <f>(IF($I$89="x","50 %","")&amp;(IF($C$81="x","20 %",""))&amp;(IF($C$82="x","50 %","")))</f>
        <v/>
      </c>
      <c r="H361" s="28"/>
      <c r="I361" s="17">
        <v>0</v>
      </c>
      <c r="J361" s="17">
        <v>0</v>
      </c>
      <c r="K361" s="17">
        <v>0</v>
      </c>
    </row>
    <row r="362" spans="1:38" x14ac:dyDescent="0.2">
      <c r="A362" s="58" t="s">
        <v>8</v>
      </c>
      <c r="B362" s="119">
        <f>IF($I$85="x","PAINISSA",IF($C$3&lt;=5,SUM($C$3,$I$2)-$C$120+IF($C$75="x",2)+$I$16-$B$10+$M$94+IF($C$77="x",2)-IF($C$78="x",4)-IF($I$78="x",1)-IF($C$79="x",4)+IF($C$80="x",1)-IF($I$77="x",2)-IF($I$90="x",2)+IF($I$83="x",2)-IF($C$75="x",4)-$C$112+IF(H361="x",1)+I361+$M$77+IF(H363="x",1)+IF(J363="x",1)+IF($M$76="x",2)+J361+IF($M$85="x",1)+IF($M$113="x",1)+IF($M$120="x",2)+IF($M$119="x",2)+IF($M$105="x",1)+IF($M$110="x",1)+IF($M$111="x",2)+IF($M$112="x",4)+IF($M$108="x",1)-IF($M$109="x",1)-IF($M$99="x",1)+IF($M$90="x",1),
IF(AND($C$3&gt;5,$C$3&lt;11),SUM($C$3,$I$2)-$C$120+IF($C$75="x",2)+$I$16-$B$10+$M$94+IF($C$77="x",2)-IF($C$78="x",4)-IF($I$78="x",1)-IF($C$79="x",4)+IF($C$80="x",1)-IF($I$77="x",2)-IF($I$90="x",2)+IF($I$83="x",2)-IF($C$83="x",4)-$C$112+IF(H361="x",1)+I361+$M$77+IF(H363="x",1)+IF(J363="x",1)+IF($M$76="x",2)+J361+IF($M$85="x",1)+IF($M$113="x",1)+IF($M$120="x",2)+IF($M$119="x",2)+IF($M$105="x",1)+IF($M$110="x",1)+IF($M$111="x",2)+IF($M$112="x",4)+IF($M$108="x",1)-IF($M$109="x",1)-IF($M$99="x",1)+IF($M$90="x",1)
&amp;"/"&amp;SUM($C$3,$I$2)-$C$120+IF($C$75="x",2)+$I$16-$B$10+$M$94+IF($C$77="x",2)-IF($C$78="x",4)-IF($I$78="x",1)-IF($C$79="x",4)+IF($C$80="x",1)-IF($I$77="x",2)-IF($I$90="x",2)+IF($I$83="x",2)-IF($C$83="x",4)-$C$112-5+IF(H361="x",1)+I361+$M$77+IF(H363="x",1)+IF(J363="x",1)+IF($M$76="x",2)+J361+IF($M$85="x",1)+IF($M$113="x",1)+IF($M$120="x",2)+IF($M$119="x",2)+IF($M$105="x",1)+IF($M$110="x",1)+IF($M$111="x",2)+IF($M$112="x",4)+IF($M$108="x",1)-IF($M$109="x",1)-IF($M$99="x",1)+IF($M$90="x",1),
IF(AND($C$3&gt;10,$C$3&lt;16),SUM($C$3,$I$2)-$C$120+IF($C$75="x",2)+$I$16-$B$10+$M$94+IF($C$77="x",2)-IF($C$78="x",4)-IF($I$78="x",1)-IF($C$79="x",4)+IF($C$80="x",1)-IF($I$77="x",2)-IF($I$90="x",2)+IF($I$83="x",2)-IF($C$83="x",4)-$C$112+IF(H361="x",1)+I361+$M$77+IF(H363="x",1)+IF(J363="x",1)+IF($M$76="x",2)+J361+IF($M$85="x",1)+IF($M$113="x",1)+IF($M$120="x",2)+IF($M$119="x",2)+IF($M$105="x",1)+IF($M$110="x",1)+IF($M$111="x",2)+IF($M$112="x",4)+IF($M$108="x",1)-IF($M$109="x",1)+IF($M$99="x",20)-IF($M$99="x",1)+IF($M$90="x",1)
&amp;"/"&amp;SUM($C$3,$I$2)-$C$120+IF($C$75="x",2)+$I$16-$B$10+$M$94+IF($C$77="x",2)-IF($C$78="x",4)-IF($I$78="x",1)-IF($C$79="x",4)+IF($C$80="x",1)-IF($I$77="x",2)-IF($I$90="x",2)+IF($I$83="x",2)-IF($C$83="x",4)-$C$112-5+IF(H779="x",1)+IF(H361="x",1)+I361+$M$77+IF(H363="x",1)+IF(J363="x",1)+IF($M$76="x",2)+J361+IF($M$85="x",1)+IF($M$113="x",1)+IF($M$120="x",2)+IF($M$119="x",2)+IF($M$105="x",1)+IF($M$110="x",1)+IF($M$111="x",2)+IF($M$112="x",4)+IF($M$108="x",1)-IF($M$109="x",1)-IF($M$99="x",1)+IF($M$90="x",1)
&amp;"/"&amp;SUM($C$3,$I$2)-$C$120+IF($C$75="x",2)+$I$16-$B$10+$M$94+IF($C$77="x",2)-IF($C$78="x",4)-IF($I$78="x",1)-IF($C$79="x",4)+IF($C$80="x",1)-IF($I$77="x",2)-IF($I$90="x",2)+IF($I$83="x",2)-IF($C$83="x",4)-$C$112-10+IF(H779="x",1)+IF(H361="x",1)+I361+$M$77+IF(H363="x",1)+IF(J363="x",1)+IF($M$76="x",2)+J361+IF($M$85="x",1)+IF($M$113="x",1)+IF($M$120="x",2)+IF($M$119="x",2)+IF($M$105="x",1)+IF($M$110="x",1)+IF($M$111="x",2)+IF($M$112="x",4)+IF($M$108="x",1)-IF($M$109="x",1)-IF($M$99="x",1)+IF($M$90="x",1),
IF(AND($C$3&gt;15),SUM($C$3,$I$2)-$C$120+IF($C$75="x",2)+$I$16-$B$10+$M$94+IF($C$77="x",2)-IF($C$78="x",4)-IF($I$78="x",1)-IF($C$79="x",4)+IF($C$80="x",1)-IF($I$77="x",2)-IF($I$90="x",2)+IF($I$83="x",2)-IF($C$83="x",4)-$C$112+IF(H361="x",1)+I361+$M$77+IF(H363="x",1)+IF(J363="x",1)+IF($M$76="x",2)+J361+IF($M$85="x",1)+IF($M$113="x",1)+IF($M$120="x",2)+IF($M$119="x",2)+IF($M$105="x",1)+IF($M$110="x",1)+IF($M$111="x",2)+IF($M$112="x",4)+IF($M$108="x",1)-IF($M$109="x",1)-IF($M$99="x",1)+IF($M$90="x",1)
&amp;"/"&amp;SUM($C$3,$I$2)-$C$120+IF($C$75="x",2)+$I$16-$B$10+$M$94+IF($C$77="x",2)-IF($C$78="x",4)-IF($I$78="x",1)-IF($C$79="x",4)+IF($C$80="x",1)-IF($I$77="x",2)-IF($I$90="x",2)+IF($I$83="x",2)-IF($C$83="x",4)-$C$112-5+IF(H779="x",1)+IF(H361="x",1)+I361+$M$77+IF(H363="x",1)+IF(J363="x",1)+IF($M$76="x",2)+J361+IF($M$85="x",1)+IF($M$113="x",1)+IF($M$120="x",2)+IF($M$119="x",2)+IF($M$105="x",1)+IF($M$110="x",1)+IF($M$111="x",2)+IF($M$112="x",4)+IF($M$108="x",1)-IF($M$109="x",1)-IF($M$99="x",1)+IF($M$90="x",1)
&amp;"/"&amp;SUM($C$3,$I$2)-$C$120+IF($C$75="x",2)+$I$16-$B$10+$M$94+IF($C$77="x",2)-IF($C$78="x",4)-IF($I$78="x",1)-IF($C$79="x",4)+IF($C$80="x",1)-IF($I$77="x",2)-IF($I$90="x",2)+IF($I$83="x",2)-IF($C$83="x",4)-$C$112-10+IF(H779="x",1)+IF(H361="x",1)+I361+$M$77+IF(H363="x",1)+IF(J363="x",1)+IF($M$76="x",2)+J361+IF($M$85="x",1)+IF($M$113="x",1)+IF($M$120="x",2)+IF($M$119="x",2)+IF($M$105="x",1)+IF($M$110="x",1)+IF($M$111="x",2)+IF($M$112="x",4)+IF($M$108="x",1)-IF($M$109="x",1)-IF($M$99="x",1)+IF($M$90="x",1)
&amp;"/"&amp;SUM($C$3,$I$2)-$C$120+IF($C$75="x",2)+$I$16-$B$10+$M$94+IF($C$77="x",2)-IF($C$78="x",4)-IF($I$78="x",1)-IF($C$79="x",4)+IF($C$80="x",1)-IF($I$77="x",2)-IF($I$90="x",2)+IF($I$83="x",2)-IF($C$83="x",4)-$C$112-15+IF(H779="x",1)+IF(H361="x",1)+I361+$M$77+IF(H363="x",1)+IF(J363="x",1)+IF($M$76="x",2)+J361+IF($M$85="x",1)+IF($M$113="x",1)+IF($M$120="x",2)+IF($M$119="x",2)+IF($M$105="x",1)+IF($M$110="x",1)+IF($M$111="x",2)+IF($M$112="x",4)+IF($M$108="x",1)-IF($M$109="x",1)-IF($M$99="x",1)+IF($M$90="x",1))))))</f>
        <v>0</v>
      </c>
      <c r="C362" s="114" t="str">
        <f>_xlfn.IFS($C$7="Minimaalinen","1",$C$7="Taskukokoinen","1n2",$C$7="Hyvin pieni","1n3",$C$7="Pieni","1n4",$C$7="Keskikokoinen","1n6",$C$7="Iso","1n8",$C$7="Valtava","2n6",$C$7="Suunnaton","3n6",$C$7="Giganttinen","4n6")</f>
        <v>1n6</v>
      </c>
      <c r="D362" s="119">
        <f>IF($I$2&lt;0,$I$2,INT($I$2*1.5))+($C$120*2)+I361+$M$77+IF(I363="x",2)+IF(K363="x",2)+IF($M$119="x",2)+IF($M$108="x",1)+$M$94-IF($M$109="x",1)+K361</f>
        <v>0</v>
      </c>
      <c r="E362" s="114" t="str">
        <f>_xlfn.IFS($C$7="Minimaalinen","2",$C$7="Taskukokoinen","2n2",$C$7="Hyvin pieni","2n3",$C$7="Pieni","2n4",$C$7="Keskikokoinen","2n6",$C$7="Iso","2n8",$C$7="Valtava","4n6",$C$7="Suunnaton","6n6",$C$7="Giganttinen","8n6")</f>
        <v>2n6</v>
      </c>
      <c r="F362" s="120">
        <f>SUM(D362*2)</f>
        <v>0</v>
      </c>
      <c r="G362" s="120" t="str">
        <f>(IF($I$89="x","50 %","")&amp;(IF($C$81="x","20 %",""))&amp;(IF($C$82="x","50 %","")))</f>
        <v/>
      </c>
      <c r="H362" s="14" t="s">
        <v>220</v>
      </c>
      <c r="I362" s="14" t="s">
        <v>221</v>
      </c>
      <c r="J362" s="14" t="s">
        <v>222</v>
      </c>
      <c r="K362" s="14" t="s">
        <v>223</v>
      </c>
    </row>
    <row r="363" spans="1:38" x14ac:dyDescent="0.2">
      <c r="A363" s="133" t="s">
        <v>438</v>
      </c>
      <c r="B363" s="121">
        <f>IF($I$85="x","PAINISSA",IF($C$3&lt;=5,SUM($C$3,$I$2)-$C$120+IF($C$75="x",2)+$I$16-$B$10+$M$94+IF($C$77="x",2)-IF($C$78="x",4)-IF($I$78="x",1)-IF($C$79="x",4)+IF($C$80="x",1)-IF($I$77="x",2)-IF($I$90="x",2)+IF($I$83="x",2)-IF($C$75="x",4)-$C$112+IF(H361="x",1)+I361+$M$77+IF(H363="x",1)+IF(J363="x",1)+IF($M$76="x",2)+J361+IF($M$85="x",1)+IF($M$113="x",1)+IF($M$120="x",2)+IF($M$119="x",2)+IF($M$105="x",1)+IF($M$110="x",1)+IF($M$111="x",2)+IF($M$112="x",4)+IF($M$108="x",1)-IF($M$109="x",1)-IF($M$99="x",1)+IF($M$90="x",1)-IF($C$97="x",2,4),
IF(AND($C$3&gt;5,$C$3&lt;11),SUM($C$3,$I$2)-$C$120+IF($C$75="x",2)+$I$16-$B$10+$M$94+IF($C$77="x",2)-IF($C$78="x",4)-IF($I$78="x",1)-IF($C$79="x",4)+IF($C$80="x",1)-IF($I$77="x",2)-IF($I$90="x",2)+IF($I$83="x",2)-IF($C$83="x",4)-$C$112+IF(H361="x",1)+I361+$M$77+IF(H363="x",1)+IF(J363="x",1)+IF($M$76="x",2)+J361+IF($M$85="x",1)+IF($M$113="x",1)+IF($M$120="x",2)+IF($M$119="x",2)+IF($M$105="x",1)+IF($M$110="x",1)+IF($M$111="x",2)+IF($M$112="x",4)+IF($M$108="x",1)-IF($M$109="x",1)-IF($M$99="x",1)+IF($M$90="x",1)-IF($C$97="x",2,4)
&amp;"/"&amp;SUM($C$3,$I$2)-$C$120+IF($C$75="x",2)+$I$16-$B$10+$M$94+IF($C$77="x",2)-IF($C$78="x",4)-IF($I$78="x",1)-IF($C$79="x",4)+IF($C$80="x",1)-IF($I$77="x",2)-IF($I$90="x",2)+IF($I$83="x",2)-IF($C$83="x",4)-$C$112-5+IF(H361="x",1)+I361+$M$77+IF(H363="x",1)+IF(J363="x",1)+IF($M$76="x",2)+J361+IF($M$85="x",1)+IF($M$113="x",1)+IF($M$120="x",2)+IF($M$119="x",2)+IF($M$105="x",1)+IF($M$110="x",1)+IF($M$111="x",2)+IF($M$112="x",4)+IF($M$108="x",1)-IF($M$109="x",1)-IF($M$99="x",1)+IF($M$90="x",1)-IF($C$97="x",2,4),
IF(AND($C$3&gt;10,$C$3&lt;16),SUM($C$3,$I$2)-$C$120+IF($C$75="x",2)+$I$16-$B$10+$M$94+IF($C$77="x",2)-IF($C$78="x",4)-IF($I$78="x",1)-IF($C$79="x",4)+IF($C$80="x",1)-IF($I$77="x",2)-IF($I$90="x",2)+IF($I$83="x",2)-IF($C$83="x",4)-$C$112+IF(H361="x",1)+I361+$M$77+IF(H363="x",1)+IF(J363="x",1)+IF($M$76="x",2)+J361+IF($M$85="x",1)+IF($M$113="x",1)+IF($M$120="x",2)+IF($M$119="x",2)+IF($M$105="x",1)+IF($M$110="x",1)+IF($M$111="x",2)+IF($M$112="x",4)+IF($M$108="x",1)-IF($M$109="x",1)+IF($M$99="x",20)-IF($M$99="x",1)+IF($M$90="x",1)-IF($C$97="x",2,4)
&amp;"/"&amp;SUM($C$3,$I$2)-$C$120+IF($C$75="x",2)+$I$16-$B$10+$M$94+IF($C$77="x",2)-IF($C$78="x",4)-IF($I$78="x",1)-IF($C$79="x",4)+IF($C$80="x",1)-IF($I$77="x",2)-IF($I$90="x",2)+IF($I$83="x",2)-IF($C$83="x",4)-$C$112-5+IF(H779="x",1)+IF(H361="x",1)+I361+$M$77+IF(H363="x",1)+IF(J363="x",1)+IF($M$76="x",2)+J361+IF($M$85="x",1)+IF($M$113="x",1)+IF($M$120="x",2)+IF($M$119="x",2)+IF($M$105="x",1)+IF($M$110="x",1)+IF($M$111="x",2)+IF($M$112="x",4)+IF($M$108="x",1)-IF($M$109="x",1)-IF($M$99="x",1)+IF($M$90="x",1)-IF($C$97="x",2,4)
&amp;"/"&amp;SUM($C$3,$I$2)-$C$120+IF($C$75="x",2)+$I$16-$B$10+$M$94+IF($C$77="x",2)-IF($C$78="x",4)-IF($I$78="x",1)-IF($C$79="x",4)+IF($C$80="x",1)-IF($I$77="x",2)-IF($I$90="x",2)+IF($I$83="x",2)-IF($C$83="x",4)-$C$112-10+IF(H779="x",1)+IF(H361="x",1)+I361+$M$77+IF(H363="x",1)+IF(J363="x",1)+IF($M$76="x",2)+J361+IF($M$85="x",1)+IF($M$113="x",1)+IF($M$120="x",2)+IF($M$119="x",2)+IF($M$105="x",1)+IF($M$110="x",1)+IF($M$111="x",2)+IF($M$112="x",4)+IF($M$108="x",1)-IF($M$109="x",1)-IF($M$99="x",1)+IF($M$90="x",1)-IF($C$97="x",2,4),
IF(AND($C$3&gt;15),SUM($C$3,$I$2)-$C$120+IF($C$75="x",2)+$I$16-$B$10+$M$94+IF($C$77="x",2)-IF($C$78="x",4)-IF($I$78="x",1)-IF($C$79="x",4)+IF($C$80="x",1)-IF($I$77="x",2)-IF($I$90="x",2)+IF($I$83="x",2)-IF($C$83="x",4)-$C$112+IF(H361="x",1)+I361+$M$77+IF(H363="x",1)+IF(J363="x",1)+IF($M$76="x",2)+J361+IF($M$85="x",1)+IF($M$113="x",1)+IF($M$120="x",2)+IF($M$119="x",2)+IF($M$105="x",1)+IF($M$110="x",1)+IF($M$111="x",2)+IF($M$112="x",4)+IF($M$108="x",1)-IF($M$109="x",1)-IF($M$99="x",1)+IF($M$90="x",1)-IF($C$97="x",2,4)
&amp;"/"&amp;SUM($C$3,$I$2)-$C$120+IF($C$75="x",2)+$I$16-$B$10+$M$94+IF($C$77="x",2)-IF($C$78="x",4)-IF($I$78="x",1)-IF($C$79="x",4)+IF($C$80="x",1)-IF($I$77="x",2)-IF($I$90="x",2)+IF($I$83="x",2)-IF($C$83="x",4)-$C$112-5+IF(H779="x",1)+IF(H361="x",1)+I361+$M$77+IF(H363="x",1)+IF(J363="x",1)+IF($M$76="x",2)+J361+IF($M$85="x",1)+IF($M$113="x",1)+IF($M$120="x",2)+IF($M$119="x",2)+IF($M$105="x",1)+IF($M$110="x",1)+IF($M$111="x",2)+IF($M$112="x",4)+IF($M$108="x",1)-IF($M$109="x",1)-IF($M$99="x",1)+IF($M$90="x",1)-IF($C$97="x",2,4)
&amp;"/"&amp;SUM($C$3,$I$2)-$C$120+IF($C$75="x",2)+$I$16-$B$10+$M$94+IF($C$77="x",2)-IF($C$78="x",4)-IF($I$78="x",1)-IF($C$79="x",4)+IF($C$80="x",1)-IF($I$77="x",2)-IF($I$90="x",2)+IF($I$83="x",2)-IF($C$83="x",4)-$C$112-10+IF(H779="x",1)+IF(H361="x",1)+I361+$M$77+IF(H363="x",1)+IF(J363="x",1)+IF($M$76="x",2)+J361+IF($M$85="x",1)+IF($M$113="x",1)+IF($M$120="x",2)+IF($M$119="x",2)+IF($M$105="x",1)+IF($M$110="x",1)+IF($M$111="x",2)+IF($M$112="x",4)+IF($M$108="x",1)-IF($M$109="x",1)-IF($M$99="x",1)+IF($M$90="x",1)-IF($C$97="x",2,4)
&amp;"/"&amp;SUM($C$3,$I$2)-$C$120+IF($C$75="x",2)+$I$16-$B$10+$M$94+IF($C$77="x",2)-IF($C$78="x",4)-IF($I$78="x",1)-IF($C$79="x",4)+IF($C$80="x",1)-IF($I$77="x",2)-IF($I$90="x",2)+IF($I$83="x",2)-IF($C$83="x",4)-$C$112-15+IF(H779="x",1)+IF(H361="x",1)+I361+$M$77+IF(H363="x",1)+IF(J363="x",1)+IF($M$76="x",2)+J361+IF($M$85="x",1)+IF($M$113="x",1)+IF($M$120="x",2)+IF($M$119="x",2)+IF($M$105="x",1)+IF($M$110="x",1)+IF($M$111="x",2)+IF($M$112="x",4)+IF($M$108="x",1)-IF($M$109="x",1)-IF($M$99="x",1)+IF($M$90="x",1)-IF($C$97="x",2,4))))))</f>
        <v>-4</v>
      </c>
      <c r="C363" s="49" t="str">
        <f>_xlfn.IFS($C$7="Minimaalinen","1",$C$7="Taskukokoinen","1n2",$C$7="Hyvin pieni","1n3",$C$7="Pieni","1n4",$C$7="Keskikokoinen","1n6",$C$7="Iso","1n8",$C$7="Valtava","2n6",$C$7="Suunnaton","3n6",$C$7="Giganttinen","4n6")</f>
        <v>1n6</v>
      </c>
      <c r="D363" s="121">
        <f>SUM($I$2+$C$120)+I361+$M$77+IF(I363="x",2)+IF(K363="x",2)+IF($M$119="x",2)+IF($M$108="x",1)+$M$94-IF($M$109="x",1)+K361</f>
        <v>0</v>
      </c>
      <c r="E363" s="49" t="str">
        <f>_xlfn.IFS($C$7="Minimaalinen","2",$C$7="Taskukokoinen","2n2",$C$7="Hyvin pieni","2n3",$C$7="Pieni","2n4",$C$7="Keskikokoinen","2n6",$C$7="Iso","2n8",$C$7="Valtava","4n6",$C$7="Suunnaton","6n6",$C$7="Giganttinen","8n6")</f>
        <v>2n6</v>
      </c>
      <c r="F363" s="12">
        <f>SUM(D363*2)</f>
        <v>0</v>
      </c>
      <c r="G363" s="82" t="str">
        <f>(IF($I$89="x","50 %","")&amp;(IF($C$81="x","20 %",""))&amp;(IF($C$82="x","50 %","")))</f>
        <v/>
      </c>
      <c r="H363" s="28"/>
      <c r="I363" s="28"/>
      <c r="J363" s="28"/>
      <c r="K363" s="28"/>
      <c r="AB363" s="46"/>
      <c r="AC363" s="48"/>
      <c r="AD363" s="48"/>
      <c r="AE363" s="48"/>
      <c r="AF363" s="48"/>
      <c r="AG363" s="48"/>
      <c r="AH363" s="48"/>
      <c r="AI363" s="48"/>
      <c r="AJ363" s="48"/>
      <c r="AK363" s="48"/>
      <c r="AL363" s="48"/>
    </row>
    <row r="364" spans="1:38" x14ac:dyDescent="0.2">
      <c r="A364" s="133" t="s">
        <v>437</v>
      </c>
      <c r="B364" s="82">
        <f>IF($I$85="x","PAINISSA",IF($C$3&lt;=5,SUM($C$3,$I$2)-$C$120+IF($C$75="x",2)+$I$16-$B$10+$M$94+IF($C$77="x",2)-IF($C$78="x",4)-IF($I$78="x",1)-IF($C$79="x",4)+IF($C$80="x",1)-IF($I$77="x",2)-IF($I$90="x",2)+IF($I$83="x",2)-IF($C$75="x",4)-$C$112+IF(H361="x",1)+I361+$M$77+IF(H363="x",1)+IF(J363="x",1)+IF($M$76="x",2)+J361+IF($M$85="x",1)+IF($M$113="x",1)+IF($M$120="x",2)+IF($M$119="x",2)+IF($M$105="x",1)+IF($M$110="x",1)+IF($M$111="x",2)+IF($M$112="x",4)+IF($M$108="x",1)-IF($M$109="x",1)-IF($M$99="x",1)+IF($M$90="x",1)-IF($C$97="x",4,6),
IF(AND($C$3&gt;5,$C$3&lt;11),SUM($C$3,$I$2)-$C$120+IF($C$75="x",2)+$I$16-$B$10+$M$94+IF($C$77="x",2)-IF($C$78="x",4)-IF($I$78="x",1)-IF($C$79="x",4)+IF($C$80="x",1)-IF($I$77="x",2)-IF($I$90="x",2)+IF($I$83="x",2)-IF($C$83="x",4)-$C$112+IF(H361="x",1)+I361+$M$77+IF(H363="x",1)+IF(J363="x",1)+IF($M$76="x",2)+J361+IF($M$85="x",1)+IF($M$113="x",1)+IF($M$120="x",2)+IF($M$119="x",2)+IF($M$105="x",1)+IF($M$110="x",1)+IF($M$111="x",2)+IF($M$112="x",4)+IF($M$108="x",1)-IF($M$109="x",1)-IF($M$99="x",1)+IF($M$90="x",1)-IF($C$97="x",4,6)
&amp;"/"&amp;SUM($C$3,$I$2)-$C$120+IF($C$75="x",2)+$I$16-$B$10+$M$94+IF($C$77="x",2)-IF($C$78="x",4)-IF($I$78="x",1)-IF($C$79="x",4)+IF($C$80="x",1)-IF($I$77="x",2)-IF($I$90="x",2)+IF($I$83="x",2)-IF($C$83="x",4)-$C$112-5+IF(H361="x",1)+I361+$M$77+IF(H363="x",1)+IF(J363="x",1)+IF($M$76="x",2)+J361+IF($M$85="x",1)+IF($M$113="x",1)+IF($M$120="x",2)+IF($M$119="x",2)+IF($M$105="x",1)+IF($M$110="x",1)+IF($M$111="x",2)+IF($M$112="x",4)+IF($M$108="x",1)-IF($M$109="x",1)-IF($M$99="x",1)+IF($M$90="x",1)-IF($C$97="x",4,6),
IF(AND($C$3&gt;10,$C$3&lt;16),SUM($C$3,$I$2)-$C$120+IF($C$75="x",2)+$I$16-$B$10+$M$94+IF($C$77="x",2)-IF($C$78="x",4)-IF($I$78="x",1)-IF($C$79="x",4)+IF($C$80="x",1)-IF($I$77="x",2)-IF($I$90="x",2)+IF($I$83="x",2)-IF($C$83="x",4)-$C$112+IF(H361="x",1)+I361+$M$77+IF(H363="x",1)+IF(J363="x",1)+IF($M$76="x",2)+J361+IF($M$85="x",1)+IF($M$113="x",1)+IF($M$120="x",2)+IF($M$119="x",2)+IF($M$105="x",1)+IF($M$110="x",1)+IF($M$111="x",2)+IF($M$112="x",4)+IF($M$108="x",1)-IF($M$109="x",1)+IF($M$99="x",20)-IF($M$99="x",1)+IF($M$90="x",1)-IF($C$97="x",4,6)
&amp;"/"&amp;SUM($C$3,$I$2)-$C$120+IF($C$75="x",2)+$I$16-$B$10+$M$94+IF($C$77="x",2)-IF($C$78="x",4)-IF($I$78="x",1)-IF($C$79="x",4)+IF($C$80="x",1)-IF($I$77="x",2)-IF($I$90="x",2)+IF($I$83="x",2)-IF($C$83="x",4)-$C$112-5+IF(H779="x",1)+IF(H361="x",1)+I361+$M$77+IF(H363="x",1)+IF(J363="x",1)+IF($M$76="x",2)+J361+IF($M$85="x",1)+IF($M$113="x",1)+IF($M$120="x",2)+IF($M$119="x",2)+IF($M$105="x",1)+IF($M$110="x",1)+IF($M$111="x",2)+IF($M$112="x",4)+IF($M$108="x",1)-IF($M$109="x",1)-IF($M$99="x",1)+IF($M$90="x",1)-IF($C$97="x",4,6)
&amp;"/"&amp;SUM($C$3,$I$2)-$C$120+IF($C$75="x",2)+$I$16-$B$10+$M$94+IF($C$77="x",2)-IF($C$78="x",4)-IF($I$78="x",1)-IF($C$79="x",4)+IF($C$80="x",1)-IF($I$77="x",2)-IF($I$90="x",2)+IF($I$83="x",2)-IF($C$83="x",4)-$C$112-10+IF(H779="x",1)+IF(H361="x",1)+I361+$M$77+IF(H363="x",1)+IF(J363="x",1)+IF($M$76="x",2)+J361+IF($M$85="x",1)+IF($M$113="x",1)+IF($M$120="x",2)+IF($M$119="x",2)+IF($M$105="x",1)+IF($M$110="x",1)+IF($M$111="x",2)+IF($M$112="x",4)+IF($M$108="x",1)-IF($M$109="x",1)-IF($M$99="x",1)+IF($M$90="x",1)-IF($C$97="x",4,6),
IF(AND($C$3&gt;15),SUM($C$3,$I$2)-$C$120+IF($C$75="x",2)+$I$16-$B$10+$M$94+IF($C$77="x",2)-IF($C$78="x",4)-IF($I$78="x",1)-IF($C$79="x",4)+IF($C$80="x",1)-IF($I$77="x",2)-IF($I$90="x",2)+IF($I$83="x",2)-IF($C$83="x",4)-$C$112+IF(H361="x",1)+I361+$M$77+IF(H363="x",1)+IF(J363="x",1)+IF($M$76="x",2)+J361+IF($M$85="x",1)+IF($M$113="x",1)+IF($M$120="x",2)+IF($M$119="x",2)+IF($M$105="x",1)+IF($M$110="x",1)+IF($M$111="x",2)+IF($M$112="x",4)+IF($M$108="x",1)-IF($M$109="x",1)-IF($M$99="x",1)+IF($M$90="x",1)-IF($C$97="x",4,6)
&amp;"/"&amp;SUM($C$3,$I$2)-$C$120+IF($C$75="x",2)+$I$16-$B$10+$M$94+IF($C$77="x",2)-IF($C$78="x",4)-IF($I$78="x",1)-IF($C$79="x",4)+IF($C$80="x",1)-IF($I$77="x",2)-IF($I$90="x",2)+IF($I$83="x",2)-IF($C$83="x",4)-$C$112-5+IF(H779="x",1)+IF(H361="x",1)+I361+$M$77+IF(H363="x",1)+IF(J363="x",1)+IF($M$76="x",2)+J361+IF($M$85="x",1)+IF($M$113="x",1)+IF($M$120="x",2)+IF($M$119="x",2)+IF($M$105="x",1)+IF($M$110="x",1)+IF($M$111="x",2)+IF($M$112="x",4)+IF($M$108="x",1)-IF($M$109="x",1)-IF($M$99="x",1)+IF($M$90="x",1)-IF($C$97="x",4,6)
&amp;"/"&amp;SUM($C$3,$I$2)-$C$120+IF($C$75="x",2)+$I$16-$B$10+$M$94+IF($C$77="x",2)-IF($C$78="x",4)-IF($I$78="x",1)-IF($C$79="x",4)+IF($C$80="x",1)-IF($I$77="x",2)-IF($I$90="x",2)+IF($I$83="x",2)-IF($C$83="x",4)-$C$112-10+IF(H779="x",1)+IF(H361="x",1)+I361+$M$77+IF(H363="x",1)+IF(J363="x",1)+IF($M$76="x",2)+J361+IF($M$85="x",1)+IF($M$113="x",1)+IF($M$120="x",2)+IF($M$119="x",2)+IF($M$105="x",1)+IF($M$110="x",1)+IF($M$111="x",2)+IF($M$112="x",4)+IF($M$108="x",1)-IF($M$109="x",1)-IF($M$99="x",1)+IF($M$90="x",1)-IF($C$97="x",4,6)
&amp;"/"&amp;SUM($C$3,$I$2)-$C$120+IF($C$75="x",2)+$I$16-$B$10+$M$94+IF($C$77="x",2)-IF($C$78="x",4)-IF($I$78="x",1)-IF($C$79="x",4)+IF($C$80="x",1)-IF($I$77="x",2)-IF($I$90="x",2)+IF($I$83="x",2)-IF($C$83="x",4)-$C$112-15+IF(H779="x",1)+IF(H361="x",1)+I361+$M$77+IF(H363="x",1)+IF(J363="x",1)+IF($M$76="x",2)+J361+IF($M$85="x",1)+IF($M$113="x",1)+IF($M$120="x",2)+IF($M$119="x",2)+IF($M$105="x",1)+IF($M$110="x",1)+IF($M$111="x",2)+IF($M$112="x",4)+IF($M$108="x",1)-IF($M$109="x",1)-IF($M$99="x",1)+IF($M$90="x",1)-IF($C$97="x",4,6))))))</f>
        <v>-6</v>
      </c>
      <c r="C364" s="49" t="str">
        <f>_xlfn.IFS($C$7="Minimaalinen","1",$C$7="Taskukokoinen","1n2",$C$7="Hyvin pieni","1n3",$C$7="Pieni","1n4",$C$7="Keskikokoinen","1n6",$C$7="Iso","1n8",$C$7="Valtava","2n6",$C$7="Suunnaton","3n6",$C$7="Giganttinen","4n6")</f>
        <v>1n6</v>
      </c>
      <c r="D364" s="121">
        <f>SUM($I$2+$C$120)+I361+$M$77+IF(I363="x",2)+IF(K363="x",2)+IF($M$119="x",2)+IF($M$108="x",1)+$M$94-IF($M$109="x",1)+K361</f>
        <v>0</v>
      </c>
      <c r="E364" s="49" t="str">
        <f>_xlfn.IFS($C$7="Minimaalinen","2",$C$7="Taskukokoinen","2n2",$C$7="Hyvin pieni","2n3",$C$7="Pieni","2n4",$C$7="Keskikokoinen","2n6",$C$7="Iso","2n8",$C$7="Valtava","4n6",$C$7="Suunnaton","6n6",$C$7="Giganttinen","8n6")</f>
        <v>2n6</v>
      </c>
      <c r="F364" s="12">
        <f>SUM(D364*2)</f>
        <v>0</v>
      </c>
      <c r="G364" s="82" t="str">
        <f>(IF($I$89="x","50 %","")&amp;(IF($C$81="x","20 %",""))&amp;(IF($C$82="x","50 %","")))</f>
        <v/>
      </c>
      <c r="H364" s="11"/>
      <c r="I364" s="15"/>
      <c r="AC364" s="41"/>
      <c r="AD364" s="49"/>
      <c r="AE364" s="41"/>
      <c r="AF364" s="49"/>
      <c r="AG364" s="40"/>
      <c r="AH364" s="40"/>
      <c r="AI364" s="40"/>
      <c r="AJ364" s="40"/>
      <c r="AK364" s="40"/>
      <c r="AL364" s="40"/>
    </row>
    <row r="365" spans="1:38" x14ac:dyDescent="0.2">
      <c r="A365" s="122" t="s">
        <v>436</v>
      </c>
      <c r="B365" s="123">
        <f>IF($I$85="x","PAINISSA",IF(AND($C$90="",$C$118=""),SUM($C$3,$I$2)-$C$120+IF($C$75="x",2)+$I$16-$B$10+$M$94+IF($C$77="x",2)-IF($C$78="x",4)-IF($I$78="x",1)-IF($C$79="x",4)+IF($C$80="x",1)-IF($I$77="x",2)-IF($I$90="x",2)+IF($I$83="x",2)-IF($C$75="x",4)-$C$112+IF(H361="x",1)+I361+$M$77+IF(H363="x",1)+IF(J363="x",1)+IF($M$76="x",2)+J361+IF($M$85="x",1)+IF($M$113="x",1)+IF($M$120="x",2)+IF($M$119="x",2)+IF($M$105="x",1)+IF($M$110="x",1)+IF($M$111="x",2)+IF($M$112="x",4)+IF($M$108="x",1)-IF($M$109="x",1)-IF($M$99="x",1)+IF($M$90="x",1)-IF($C$97="x",4,10),
IF(AND($C$90="x",$C$118=""),SUM($C$3,$I$2)-$C$120+IF($C$75="x",2)+$I$16-$B$10+$M$94+IF($C$77="x",2)-IF($C$78="x",4)-IF($I$78="x",1)-IF($C$79="x",4)+IF($C$80="x",1)-IF($I$77="x",2)-IF($I$90="x",2)+IF($I$83="x",2)-IF($C$83="x",4)-$C$112+IF(H361="x",1)+I361+$M$77+IF(H363="x",1)+IF(J363="x",1)+IF($M$76="x",2)+J361+IF($M$85="x",1)+IF($M$113="x",1)+IF($M$120="x",2)+IF($M$119="x",2)+IF($M$105="x",1)+IF($M$110="x",1)+IF($M$111="x",2)+IF($M$112="x",4)+IF($M$108="x",1)-IF($M$109="x",1)-IF($M$99="x",1)+IF($M$90="x",1)-IF($C$97="x",4,10)
&amp;"/"&amp;SUM($C$3,$I$2)-$C$120+IF($C$75="x",2)+$I$16-$B$10+$M$94+IF($C$77="x",2)-IF($C$78="x",4)-IF($I$78="x",1)-IF($C$79="x",4)+IF($C$80="x",1)-IF($I$77="x",2)-IF($I$90="x",2)+IF($I$83="x",2)-IF($C$83="x",4)-$C$112+IF(H361="x",1)+I361+$M$77+IF(H363="x",1)+IF(J363="x",1)+IF($M$76="x",2)+J361+IF($M$85="x",1)+IF($M$113="x",1)+IF($M$120="x",2)+IF($M$119="x",2)+IF($M$105="x",1)+IF($M$110="x",1)+IF($M$111="x",2)+IF($M$112="x",4)+IF($M$108="x",1)-IF($M$109="x",1)-IF($M$99="x",1)+IF($M$90="x",1)-IF($C$97="x",4,10)-5,
IF(AND($C$90="x",$C$118="x"),SUM($C$3,$I$2)-$C$120+IF($C$75="x",2)+$I$16-$B$10+$M$94+IF($C$77="x",2)-IF($C$78="x",4)-IF($I$78="x",1)-IF($C$79="x",4)+IF($C$80="x",1)-IF($I$77="x",2)-IF($I$90="x",2)+IF($I$83="x",2)-IF($C$83="x",4)-$C$112+IF(H361="x",1)+I361+$M$77+IF(H363="x",1)+IF(J363="x",1)+IF($M$76="x",2)+J361+IF($M$85="x",1)+IF($M$113="x",1)+IF($M$120="x",2)+IF($M$119="x",2)+IF($M$105="x",1)+IF($M$110="x",1)+IF($M$111="x",2)+IF($M$112="x",4)+IF($M$108="x",1)-IF($M$109="x",1)+IF($M$99="x",20)-IF($M$99="x",1)+IF($M$90="x",1)-IF($C$97="x",4,10)
&amp;"/"&amp;SUM($C$3,$I$2)-$C$120+IF($C$75="x",2)+$I$16-$B$10+$M$94+IF($C$77="x",2)-IF($C$78="x",4)-IF($I$78="x",1)-IF($C$79="x",4)+IF($C$80="x",1)-IF($I$77="x",2)-IF($I$90="x",2)+IF($I$83="x",2)-IF($C$83="x",4)-$C$112-5+IF(H361="x",1)+I361+$M$77+IF(H363="x",1)+IF(J363="x",1)+IF($M$76="x",2)+J361+IF($M$85="x",1)+IF($M$113="x",1)+IF($M$120="x",2)+IF($M$119="x",2)+IF($M$105="x",1)+IF($M$110="x",1)+IF($M$111="x",2)+IF($M$112="x",4)+IF($M$108="x",1)-IF($M$109="x",1)-IF($M$99="x",1)+IF($M$90="x",1)-IF($C$97="x",4,10)
&amp;"/"&amp;SUM($C$3,$I$2)-$C$120+IF($C$75="x",2)+$I$16-$B$10+$M$94+IF($C$77="x",2)-IF($C$78="x",4)-IF($I$78="x",1)-IF($C$79="x",4)+IF($C$80="x",1)-IF($I$77="x",2)-IF($I$90="x",2)+IF($I$83="x",2)-IF($C$83="x",4)-$C$112-10+IF(H361="x",1)+I361+$M$77+IF(H363="x",1)+IF(J363="x",1)+IF($M$76="x",2)+J361+IF($M$85="x",1)+IF($M$113="x",1)+IF($M$120="x",2)+IF($M$119="x",2)+IF($M$105="x",1)+IF($M$110="x",1)+IF($M$111="x",2)+IF($M$112="x",4)+IF($M$108="x",1)-IF($M$109="x",1)-IF($M$99="x",1)+IF($M$90="x",1)-IF($C$97="x",4,10)))))</f>
        <v>-10</v>
      </c>
      <c r="C365" s="54" t="str">
        <f>_xlfn.IFS($C$7="Minimaalinen","1",$C$7="Taskukokoinen","1n2",$C$7="Hyvin pieni","1n3",$C$7="Pieni","1n4",$C$7="Keskikokoinen","1n6",$C$7="Iso","1n8",$C$7="Valtava","2n6",$C$7="Suunnaton","3n6",$C$7="Giganttinen","4n6")</f>
        <v>1n6</v>
      </c>
      <c r="D365" s="123">
        <f>INT($I$2/2)+($C$120)+I361+$M$77+IF(I363="x",2)+IF(K363="x",2)+IF($M$119="x",2)+IF($M$108="x",1)+$M$94+K361-IF($M$109="x",1)</f>
        <v>0</v>
      </c>
      <c r="E365" s="54" t="str">
        <f>_xlfn.IFS($C$7="Minimaalinen","2",$C$7="Taskukokoinen","2n2",$C$7="Hyvin pieni","2n3",$C$7="Pieni","2n4",$C$7="Keskikokoinen","2n6",$C$7="Iso","2n8",$C$7="Valtava","4n6",$C$7="Suunnaton","6n6",$C$7="Giganttinen","8n6")</f>
        <v>2n6</v>
      </c>
      <c r="F365" s="124">
        <f>SUM(D365*2)</f>
        <v>0</v>
      </c>
      <c r="G365" s="124" t="str">
        <f>(IF($I$89="x","50 %","")&amp;(IF($C$81="x","20 %",""))&amp;(IF($C$82="x","50 %","")))</f>
        <v/>
      </c>
      <c r="H365" s="40"/>
      <c r="K365" s="82"/>
      <c r="AB365" s="50"/>
      <c r="AC365" s="51"/>
      <c r="AD365" s="49"/>
      <c r="AE365" s="51"/>
      <c r="AF365" s="49"/>
      <c r="AG365" s="49"/>
      <c r="AH365" s="49"/>
      <c r="AI365" s="48"/>
      <c r="AJ365" s="48"/>
      <c r="AK365" s="48"/>
      <c r="AL365" s="48"/>
    </row>
    <row r="366" spans="1:38" x14ac:dyDescent="0.2">
      <c r="B366" s="15"/>
      <c r="C366" s="15"/>
      <c r="D366" s="15"/>
      <c r="F366" s="15"/>
      <c r="G366" s="15"/>
      <c r="H366" s="15"/>
      <c r="I366" s="15"/>
      <c r="AB366" s="52"/>
      <c r="AC366" s="53"/>
      <c r="AD366" s="54"/>
      <c r="AE366" s="53"/>
      <c r="AF366" s="54"/>
      <c r="AG366" s="54"/>
      <c r="AH366" s="53"/>
      <c r="AI366" s="40"/>
      <c r="AJ366" s="40"/>
      <c r="AK366" s="40"/>
      <c r="AL366" s="40"/>
    </row>
    <row r="367" spans="1:38" x14ac:dyDescent="0.2">
      <c r="B367" s="15"/>
      <c r="C367" s="15"/>
      <c r="D367" s="15"/>
      <c r="F367" s="15"/>
      <c r="G367" s="15"/>
      <c r="H367" s="15"/>
      <c r="I367" s="15"/>
    </row>
    <row r="368" spans="1:38" x14ac:dyDescent="0.2">
      <c r="A368" s="10" t="s">
        <v>304</v>
      </c>
      <c r="B368" s="11" t="s">
        <v>1</v>
      </c>
      <c r="C368" s="11" t="s">
        <v>2</v>
      </c>
      <c r="D368" s="11" t="s">
        <v>3</v>
      </c>
      <c r="E368" s="11" t="s">
        <v>229</v>
      </c>
      <c r="F368" s="11" t="s">
        <v>3</v>
      </c>
      <c r="G368" s="11" t="s">
        <v>45</v>
      </c>
      <c r="H368" s="14" t="s">
        <v>179</v>
      </c>
      <c r="I368" s="130" t="s">
        <v>242</v>
      </c>
      <c r="J368" s="130" t="s">
        <v>224</v>
      </c>
      <c r="K368" s="130" t="s">
        <v>225</v>
      </c>
    </row>
    <row r="369" spans="1:38" x14ac:dyDescent="0.2">
      <c r="A369" s="85" t="s">
        <v>219</v>
      </c>
      <c r="B369" s="98">
        <f>IF($I$85="x","PAINISSA",IF($C$3&lt;=5,SUM($C$3,$I$2)-$C$120+IF($C$75="x",2)+$I$16-$B$10+$M$94+IF($C$77="x",2)-IF($C$78="x",4)-IF($I$78="x",1)-IF($C$79="x",4)+IF($C$80="x",1)-IF($I$77="x",2)-IF($I$90="x",2)+IF($I$83="x",2)-IF($C$75="x",4)-$C$112+IF(H369="x",1)+I369+$M$77+IF(H371="x",1)+IF(J371="x",1)+IF($M$76="x",2)+J369+IF($M$85="x",1)+IF($M$113="x",1)+IF($M$120="x",2)+IF($M$119="x",2)+IF($M$105="x",1)+IF($M$110="x",1)+IF($M$111="x",2)+IF($M$112="x",4)+IF($M$108="x",1)-IF($M$109="x",1)-IF($M$99="x",1)+IF($M$90="x",1),
IF(AND($C$3&gt;5,$C$3&lt;11),SUM($C$3,$I$2)-$C$120+IF($C$75="x",2)+$I$16-$B$10+$M$94+IF($C$77="x",2)-IF($C$78="x",4)-IF($I$78="x",1)-IF($C$79="x",4)+IF($C$80="x",1)-IF($I$77="x",2)-IF($I$90="x",2)+IF($I$83="x",2)-IF($C$83="x",4)-$C$112+IF(H369="x",1)+I369+$M$77+IF(H371="x",1)+IF(J371="x",1)+IF($M$76="x",2)+J369+IF($M$85="x",1)+IF($M$113="x",1)+IF($M$120="x",2)+IF($M$119="x",2)+IF($M$105="x",1)+IF($M$110="x",1)+IF($M$111="x",2)+IF($M$112="x",4)+IF($M$108="x",1)-IF($M$109="x",1)-IF($M$99="x",1)+IF($M$90="x",1)
&amp;"/"&amp;SUM($C$3,$I$2)-$C$120+IF($C$75="x",2)+$I$16-$B$10+$M$94+IF($C$77="x",2)-IF($C$78="x",4)-IF($I$78="x",1)-IF($C$79="x",4)+IF($C$80="x",1)-IF($I$77="x",2)-IF($I$90="x",2)+IF($I$83="x",2)-IF($C$83="x",4)-$C$112-5+IF(H369="x",1)+I369+$M$77+IF(H371="x",1)+IF(J371="x",1)+IF($M$76="x",2)+J369+IF($M$85="x",1)+IF($M$113="x",1)+IF($M$120="x",2)+IF($M$119="x",2)+IF($M$105="x",1)+IF($M$110="x",1)+IF($M$111="x",2)+IF($M$112="x",4)+IF($M$108="x",1)-IF($M$109="x",1)-IF($M$99="x",1)+IF($M$90="x",1),
IF(AND($C$3&gt;10,$C$3&lt;16),SUM($C$3,$I$2)-$C$120+IF($C$75="x",2)+$I$16-$B$10+$M$94+IF($C$77="x",2)-IF($C$78="x",4)-IF($I$78="x",1)-IF($C$79="x",4)+IF($C$80="x",1)-IF($I$77="x",2)-IF($I$90="x",2)+IF($I$83="x",2)-IF($C$83="x",4)-$C$112+IF(H369="x",1)+I369+$M$77+IF(H371="x",1)+IF(J371="x",1)+IF($M$76="x",2)+J369+IF($M$85="x",1)+IF($M$113="x",1)+IF($M$120="x",2)+IF($M$119="x",2)+IF($M$105="x",1)+IF($M$110="x",1)+IF($M$111="x",2)+IF($M$112="x",4)+IF($M$108="x",1)-IF($M$109="x",1)+IF($M$99="x",20)-IF($M$99="x",1)+IF($M$90="x",1)
&amp;"/"&amp;SUM($C$3,$I$2)-$C$120+IF($C$75="x",2)+$I$16-$B$10+$M$94+IF($C$77="x",2)-IF($C$78="x",4)-IF($I$78="x",1)-IF($C$79="x",4)+IF($C$80="x",1)-IF($I$77="x",2)-IF($I$90="x",2)+IF($I$83="x",2)-IF($C$83="x",4)-$C$112-5+IF(H705="x",1)+IF(H369="x",1)+I369+$M$77+IF(H371="x",1)+IF(J371="x",1)+IF($M$76="x",2)+J369+IF($M$85="x",1)+IF($M$113="x",1)+IF($M$120="x",2)+IF($M$119="x",2)+IF($M$105="x",1)+IF($M$110="x",1)+IF($M$111="x",2)+IF($M$112="x",4)+IF($M$108="x",1)-IF($M$109="x",1)-IF($M$99="x",1)+IF($M$90="x",1)
&amp;"/"&amp;SUM($C$3,$I$2)-$C$120+IF($C$75="x",2)+$I$16-$B$10+$M$94+IF($C$77="x",2)-IF($C$78="x",4)-IF($I$78="x",1)-IF($C$79="x",4)+IF($C$80="x",1)-IF($I$77="x",2)-IF($I$90="x",2)+IF($I$83="x",2)-IF($C$83="x",4)-$C$112-10+IF(H705="x",1)+IF(H369="x",1)+I369+$M$77+IF(H371="x",1)+IF(J371="x",1)+IF($M$76="x",2)+J369+IF($M$85="x",1)+IF($M$113="x",1)+IF($M$120="x",2)+IF($M$119="x",2)+IF($M$105="x",1)+IF($M$110="x",1)+IF($M$111="x",2)+IF($M$112="x",4)+IF($M$108="x",1)-IF($M$109="x",1)-IF($M$99="x",1)+IF($M$90="x",1),
IF(AND($C$3&gt;15),SUM($C$3,$I$2)-$C$120+IF($C$75="x",2)+$I$16-$B$10+$M$94+IF($C$77="x",2)-IF($C$78="x",4)-IF($I$78="x",1)-IF($C$79="x",4)+IF($C$80="x",1)-IF($I$77="x",2)-IF($I$90="x",2)+IF($I$83="x",2)-IF($C$83="x",4)-$C$112+IF(H369="x",1)+I369+$M$77+IF(H371="x",1)+IF(J371="x",1)+IF($M$76="x",2)+J369+IF($M$85="x",1)+IF($M$113="x",1)+IF($M$120="x",2)+IF($M$119="x",2)+IF($M$105="x",1)+IF($M$110="x",1)+IF($M$111="x",2)+IF($M$112="x",4)+IF($M$108="x",1)-IF($M$109="x",1)-IF($M$99="x",1)+IF($M$90="x",1)
&amp;"/"&amp;SUM($C$3,$I$2)-$C$120+IF($C$75="x",2)+$I$16-$B$10+$M$94+IF($C$77="x",2)-IF($C$78="x",4)-IF($I$78="x",1)-IF($C$79="x",4)+IF($C$80="x",1)-IF($I$77="x",2)-IF($I$90="x",2)+IF($I$83="x",2)-IF($C$83="x",4)-$C$112-5+IF(H705="x",1)+IF(H369="x",1)+I369+$M$77+IF(H371="x",1)+IF(J371="x",1)+IF($M$76="x",2)+J369+IF($M$85="x",1)+IF($M$113="x",1)+IF($M$120="x",2)+IF($M$119="x",2)+IF($M$105="x",1)+IF($M$110="x",1)+IF($M$111="x",2)+IF($M$112="x",4)+IF($M$108="x",1)-IF($M$109="x",1)-IF($M$99="x",1)+IF($M$90="x",1)
&amp;"/"&amp;SUM($C$3,$I$2)-$C$120+IF($C$75="x",2)+$I$16-$B$10+$M$94+IF($C$77="x",2)-IF($C$78="x",4)-IF($I$78="x",1)-IF($C$79="x",4)+IF($C$80="x",1)-IF($I$77="x",2)-IF($I$90="x",2)+IF($I$83="x",2)-IF($C$83="x",4)-$C$112-10+IF(H705="x",1)+IF(H369="x",1)+I369+$M$77+IF(H371="x",1)+IF(J371="x",1)+IF($M$76="x",2)+J369+IF($M$85="x",1)+IF($M$113="x",1)+IF($M$120="x",2)+IF($M$119="x",2)+IF($M$105="x",1)+IF($M$110="x",1)+IF($M$111="x",2)+IF($M$112="x",4)+IF($M$108="x",1)-IF($M$109="x",1)-IF($M$99="x",1)+IF($M$90="x",1)
&amp;"/"&amp;SUM($C$3,$I$2)-$C$120+IF($C$75="x",2)+$I$16-$B$10+$M$94+IF($C$77="x",2)-IF($C$78="x",4)-IF($I$78="x",1)-IF($C$79="x",4)+IF($C$80="x",1)-IF($I$77="x",2)-IF($I$90="x",2)+IF($I$83="x",2)-IF($C$83="x",4)-$C$112-15+IF(H705="x",1)+IF(H369="x",1)+I369+$M$77+IF(H371="x",1)+IF(J371="x",1)+IF($M$76="x",2)+J369+IF($M$85="x",1)+IF($M$113="x",1)+IF($M$120="x",2)+IF($M$119="x",2)+IF($M$105="x",1)+IF($M$110="x",1)+IF($M$111="x",2)+IF($M$112="x",4)+IF($M$108="x",1)-IF($M$109="x",1)-IF($M$99="x",1)+IF($M$90="x",1))))))</f>
        <v>0</v>
      </c>
      <c r="C369" s="66" t="str">
        <f>_xlfn.IFS($C$7="Minimaalinen","1n2",$C$7="Taskukokoinen","1n3",$C$7="Hyvin pieni","1n4",$C$7="Pieni","1n6",$C$7="Keskikokoinen","1n8",$C$7="Iso","2n6",$C$7="Valtava","3n6",$C$7="Suunnaton","4n6",$C$7="Giganttinen","6n6")</f>
        <v>1n8</v>
      </c>
      <c r="D369" s="97">
        <f>SUM($I$2+$C$120)+I369+$M$77+IF(I371="x",2)+IF(K371="x",2)+IF($M$119="x",2)+IF($M$108="x",1)+$M$94-IF($M$109="x",1)+K369</f>
        <v>0</v>
      </c>
      <c r="E369" s="66" t="str">
        <f>_xlfn.IFS($C$7="Minimaalinen","3n2",$C$7="Taskukokoinen","3n3",$C$7="Hyvin pieni","3n4",$C$7="Pieni","3n6",$C$7="Keskikokoinen","3n8",$C$7="Iso","6n6",$C$7="Valtava","9n6",$C$7="Suunnaton","12n6",$C$7="Giganttinen","18n6")</f>
        <v>3n8</v>
      </c>
      <c r="F369" s="98">
        <f>SUM(D369*3)</f>
        <v>0</v>
      </c>
      <c r="G369" s="98" t="str">
        <f>(IF($I$89="x","50 %","")&amp;(IF($C$81="x","20 %",""))&amp;(IF($C$82="x","50 %","")))</f>
        <v/>
      </c>
      <c r="H369" s="28"/>
      <c r="I369" s="17">
        <v>0</v>
      </c>
      <c r="J369" s="17">
        <v>0</v>
      </c>
      <c r="K369" s="17">
        <v>0</v>
      </c>
      <c r="AB369" s="46"/>
      <c r="AC369" s="48"/>
      <c r="AD369" s="48"/>
      <c r="AE369" s="48"/>
      <c r="AF369" s="48"/>
      <c r="AG369" s="48"/>
      <c r="AH369" s="48"/>
      <c r="AI369" s="48"/>
      <c r="AJ369" s="48"/>
      <c r="AK369" s="48"/>
      <c r="AL369" s="48"/>
    </row>
    <row r="370" spans="1:38" x14ac:dyDescent="0.2">
      <c r="A370" s="58" t="s">
        <v>8</v>
      </c>
      <c r="B370" s="119">
        <f>IF($I$85="x","PAINISSA",IF($C$3&lt;=5,SUM($C$3,$I$2)-$C$120+IF($C$75="x",2)+$I$16-$B$10+$M$94+IF($C$77="x",2)-IF($C$78="x",4)-IF($I$78="x",1)-IF($C$79="x",4)+IF($C$80="x",1)-IF($I$77="x",2)-IF($I$90="x",2)+IF($I$83="x",2)-IF($C$75="x",4)-$C$112+IF(H369="x",1)+I369+$M$77+IF(H371="x",1)+IF(J371="x",1)+IF($M$76="x",2)+J369+IF($M$85="x",1)+IF($M$113="x",1)+IF($M$120="x",2)+IF($M$119="x",2)+IF($M$105="x",1)+IF($M$110="x",1)+IF($M$111="x",2)+IF($M$112="x",4)+IF($M$108="x",1)-IF($M$109="x",1)-IF($M$99="x",1)+IF($M$90="x",1),
IF(AND($C$3&gt;5,$C$3&lt;11),SUM($C$3,$I$2)-$C$120+IF($C$75="x",2)+$I$16-$B$10+$M$94+IF($C$77="x",2)-IF($C$78="x",4)-IF($I$78="x",1)-IF($C$79="x",4)+IF($C$80="x",1)-IF($I$77="x",2)-IF($I$90="x",2)+IF($I$83="x",2)-IF($C$83="x",4)-$C$112+IF(H369="x",1)+I369+$M$77+IF(H371="x",1)+IF(J371="x",1)+IF($M$76="x",2)+J369+IF($M$85="x",1)+IF($M$113="x",1)+IF($M$120="x",2)+IF($M$119="x",2)+IF($M$105="x",1)+IF($M$110="x",1)+IF($M$111="x",2)+IF($M$112="x",4)+IF($M$108="x",1)-IF($M$109="x",1)-IF($M$99="x",1)+IF($M$90="x",1)
&amp;"/"&amp;SUM($C$3,$I$2)-$C$120+IF($C$75="x",2)+$I$16-$B$10+$M$94+IF($C$77="x",2)-IF($C$78="x",4)-IF($I$78="x",1)-IF($C$79="x",4)+IF($C$80="x",1)-IF($I$77="x",2)-IF($I$90="x",2)+IF($I$83="x",2)-IF($C$83="x",4)-$C$112-5+IF(H369="x",1)+I369+$M$77+IF(H371="x",1)+IF(J371="x",1)+IF($M$76="x",2)+J369+IF($M$85="x",1)+IF($M$113="x",1)+IF($M$120="x",2)+IF($M$119="x",2)+IF($M$105="x",1)+IF($M$110="x",1)+IF($M$111="x",2)+IF($M$112="x",4)+IF($M$108="x",1)-IF($M$109="x",1)-IF($M$99="x",1)+IF($M$90="x",1),
IF(AND($C$3&gt;10,$C$3&lt;16),SUM($C$3,$I$2)-$C$120+IF($C$75="x",2)+$I$16-$B$10+$M$94+IF($C$77="x",2)-IF($C$78="x",4)-IF($I$78="x",1)-IF($C$79="x",4)+IF($C$80="x",1)-IF($I$77="x",2)-IF($I$90="x",2)+IF($I$83="x",2)-IF($C$83="x",4)-$C$112+IF(H369="x",1)+I369+$M$77+IF(H371="x",1)+IF(J371="x",1)+IF($M$76="x",2)+J369+IF($M$85="x",1)+IF($M$113="x",1)+IF($M$120="x",2)+IF($M$119="x",2)+IF($M$105="x",1)+IF($M$110="x",1)+IF($M$111="x",2)+IF($M$112="x",4)+IF($M$108="x",1)-IF($M$109="x",1)+IF($M$99="x",20)-IF($M$99="x",1)+IF($M$90="x",1)
&amp;"/"&amp;SUM($C$3,$I$2)-$C$120+IF($C$75="x",2)+$I$16-$B$10+$M$94+IF($C$77="x",2)-IF($C$78="x",4)-IF($I$78="x",1)-IF($C$79="x",4)+IF($C$80="x",1)-IF($I$77="x",2)-IF($I$90="x",2)+IF($I$83="x",2)-IF($C$83="x",4)-$C$112-5+IF(H705="x",1)+IF(H369="x",1)+I369+$M$77+IF(H371="x",1)+IF(J371="x",1)+IF($M$76="x",2)+J369+IF($M$85="x",1)+IF($M$113="x",1)+IF($M$120="x",2)+IF($M$119="x",2)+IF($M$105="x",1)+IF($M$110="x",1)+IF($M$111="x",2)+IF($M$112="x",4)+IF($M$108="x",1)-IF($M$109="x",1)-IF($M$99="x",1)+IF($M$90="x",1)
&amp;"/"&amp;SUM($C$3,$I$2)-$C$120+IF($C$75="x",2)+$I$16-$B$10+$M$94+IF($C$77="x",2)-IF($C$78="x",4)-IF($I$78="x",1)-IF($C$79="x",4)+IF($C$80="x",1)-IF($I$77="x",2)-IF($I$90="x",2)+IF($I$83="x",2)-IF($C$83="x",4)-$C$112-10+IF(H705="x",1)+IF(H369="x",1)+I369+$M$77+IF(H371="x",1)+IF(J371="x",1)+IF($M$76="x",2)+J369+IF($M$85="x",1)+IF($M$113="x",1)+IF($M$120="x",2)+IF($M$119="x",2)+IF($M$105="x",1)+IF($M$110="x",1)+IF($M$111="x",2)+IF($M$112="x",4)+IF($M$108="x",1)-IF($M$109="x",1)-IF($M$99="x",1)+IF($M$90="x",1),
IF(AND($C$3&gt;15),SUM($C$3,$I$2)-$C$120+IF($C$75="x",2)+$I$16-$B$10+$M$94+IF($C$77="x",2)-IF($C$78="x",4)-IF($I$78="x",1)-IF($C$79="x",4)+IF($C$80="x",1)-IF($I$77="x",2)-IF($I$90="x",2)+IF($I$83="x",2)-IF($C$83="x",4)-$C$112+IF(H369="x",1)+I369+$M$77+IF(H371="x",1)+IF(J371="x",1)+IF($M$76="x",2)+J369+IF($M$85="x",1)+IF($M$113="x",1)+IF($M$120="x",2)+IF($M$119="x",2)+IF($M$105="x",1)+IF($M$110="x",1)+IF($M$111="x",2)+IF($M$112="x",4)+IF($M$108="x",1)-IF($M$109="x",1)-IF($M$99="x",1)+IF($M$90="x",1)
&amp;"/"&amp;SUM($C$3,$I$2)-$C$120+IF($C$75="x",2)+$I$16-$B$10+$M$94+IF($C$77="x",2)-IF($C$78="x",4)-IF($I$78="x",1)-IF($C$79="x",4)+IF($C$80="x",1)-IF($I$77="x",2)-IF($I$90="x",2)+IF($I$83="x",2)-IF($C$83="x",4)-$C$112-5+IF(H705="x",1)+IF(H369="x",1)+I369+$M$77+IF(H371="x",1)+IF(J371="x",1)+IF($M$76="x",2)+J369+IF($M$85="x",1)+IF($M$113="x",1)+IF($M$120="x",2)+IF($M$119="x",2)+IF($M$105="x",1)+IF($M$110="x",1)+IF($M$111="x",2)+IF($M$112="x",4)+IF($M$108="x",1)-IF($M$109="x",1)-IF($M$99="x",1)+IF($M$90="x",1)
&amp;"/"&amp;SUM($C$3,$I$2)-$C$120+IF($C$75="x",2)+$I$16-$B$10+$M$94+IF($C$77="x",2)-IF($C$78="x",4)-IF($I$78="x",1)-IF($C$79="x",4)+IF($C$80="x",1)-IF($I$77="x",2)-IF($I$90="x",2)+IF($I$83="x",2)-IF($C$83="x",4)-$C$112-10+IF(H705="x",1)+IF(H369="x",1)+I369+$M$77+IF(H371="x",1)+IF(J371="x",1)+IF($M$76="x",2)+J369+IF($M$85="x",1)+IF($M$113="x",1)+IF($M$120="x",2)+IF($M$119="x",2)+IF($M$105="x",1)+IF($M$110="x",1)+IF($M$111="x",2)+IF($M$112="x",4)+IF($M$108="x",1)-IF($M$109="x",1)-IF($M$99="x",1)+IF($M$90="x",1)
&amp;"/"&amp;SUM($C$3,$I$2)-$C$120+IF($C$75="x",2)+$I$16-$B$10+$M$94+IF($C$77="x",2)-IF($C$78="x",4)-IF($I$78="x",1)-IF($C$79="x",4)+IF($C$80="x",1)-IF($I$77="x",2)-IF($I$90="x",2)+IF($I$83="x",2)-IF($C$83="x",4)-$C$112-15+IF(H705="x",1)+IF(H369="x",1)+I369+$M$77+IF(H371="x",1)+IF(J371="x",1)+IF($M$76="x",2)+J369+IF($M$85="x",1)+IF($M$113="x",1)+IF($M$120="x",2)+IF($M$119="x",2)+IF($M$105="x",1)+IF($M$110="x",1)+IF($M$111="x",2)+IF($M$112="x",4)+IF($M$108="x",1)-IF($M$109="x",1)-IF($M$99="x",1)+IF($M$90="x",1))))))</f>
        <v>0</v>
      </c>
      <c r="C370" s="114" t="str">
        <f>_xlfn.IFS($C$7="Minimaalinen","1n2",$C$7="Taskukokoinen","1n3",$C$7="Hyvin pieni","1n4",$C$7="Pieni","1n6",$C$7="Keskikokoinen","1n8",$C$7="Iso","2n6",$C$7="Valtava","3n6",$C$7="Suunnaton","4n6",$C$7="Giganttinen","6n6")</f>
        <v>1n8</v>
      </c>
      <c r="D370" s="119">
        <f>IF($I$2&lt;0,$I$2,INT($I$2*1.5))+($C$120*2)+I369+$M$77+IF(I371="x",2)+IF(K371="x",2)+IF($M$119="x",2)+IF($M$108="x",1)+$M$94-IF($M$109="x",1)+K369</f>
        <v>0</v>
      </c>
      <c r="E370" s="114" t="str">
        <f>_xlfn.IFS($C$7="Minimaalinen","3n2",$C$7="Taskukokoinen","3n3",$C$7="Hyvin pieni","3n4",$C$7="Pieni","3n6",$C$7="Keskikokoinen","3n8",$C$7="Iso","6n6",$C$7="Valtava","9n6",$C$7="Suunnaton","12n6",$C$7="Giganttinen","18n6")</f>
        <v>3n8</v>
      </c>
      <c r="F370" s="120">
        <f>SUM(D370*3)</f>
        <v>0</v>
      </c>
      <c r="G370" s="120" t="str">
        <f>(IF($I$89="x","50 %","")&amp;(IF($C$81="x","20 %",""))&amp;(IF($C$82="x","50 %","")))</f>
        <v/>
      </c>
      <c r="H370" s="14" t="s">
        <v>220</v>
      </c>
      <c r="I370" s="14" t="s">
        <v>221</v>
      </c>
      <c r="J370" s="14" t="s">
        <v>222</v>
      </c>
      <c r="K370" s="14" t="s">
        <v>223</v>
      </c>
      <c r="AC370" s="41"/>
      <c r="AD370" s="49"/>
      <c r="AE370" s="41"/>
      <c r="AF370" s="49"/>
      <c r="AG370" s="40"/>
      <c r="AH370" s="40"/>
      <c r="AI370" s="40"/>
      <c r="AJ370" s="40"/>
      <c r="AK370" s="40"/>
      <c r="AL370" s="40"/>
    </row>
    <row r="371" spans="1:38" x14ac:dyDescent="0.2">
      <c r="A371" s="25" t="s">
        <v>438</v>
      </c>
      <c r="B371" s="121">
        <f>IF($I$85="x","PAINISSA",IF($C$3&lt;=5,SUM($C$3,$I$2)-$C$120+IF($C$75="x",2)+$I$16-$B$10+$M$94+IF($C$77="x",2)-IF($C$78="x",4)-IF($I$78="x",1)-IF($C$79="x",4)+IF($C$80="x",1)-IF($I$77="x",2)-IF($I$90="x",2)+IF($I$83="x",2)-IF($C$75="x",4)-$C$112+IF(H369="x",1)+I369+$M$77+IF(H371="x",1)+IF(J371="x",1)+IF($M$76="x",2)+J369+IF($M$85="x",1)+IF($M$113="x",1)+IF($M$120="x",2)+IF($M$119="x",2)+IF($M$105="x",1)+IF($M$110="x",1)+IF($M$111="x",2)+IF($M$112="x",4)+IF($M$108="x",1)-IF($M$109="x",1)-IF($M$99="x",1)+IF($M$90="x",1)-IF($C$97="x",2,4),
IF(AND($C$3&gt;5,$C$3&lt;11),SUM($C$3,$I$2)-$C$120+IF($C$75="x",2)+$I$16-$B$10+$M$94+IF($C$77="x",2)-IF($C$78="x",4)-IF($I$78="x",1)-IF($C$79="x",4)+IF($C$80="x",1)-IF($I$77="x",2)-IF($I$90="x",2)+IF($I$83="x",2)-IF($C$83="x",4)-$C$112+IF(H369="x",1)+I369+$M$77+IF(H371="x",1)+IF(J371="x",1)+IF($M$76="x",2)+J369+IF($M$85="x",1)+IF($M$113="x",1)+IF($M$120="x",2)+IF($M$119="x",2)+IF($M$105="x",1)+IF($M$110="x",1)+IF($M$111="x",2)+IF($M$112="x",4)+IF($M$108="x",1)-IF($M$109="x",1)-IF($M$99="x",1)+IF($M$90="x",1)-IF($C$97="x",2,4)
&amp;"/"&amp;SUM($C$3,$I$2)-$C$120+IF($C$75="x",2)+$I$16-$B$10+$M$94+IF($C$77="x",2)-IF($C$78="x",4)-IF($I$78="x",1)-IF($C$79="x",4)+IF($C$80="x",1)-IF($I$77="x",2)-IF($I$90="x",2)+IF($I$83="x",2)-IF($C$83="x",4)-$C$112-5+IF(H369="x",1)+I369+$M$77+IF(H371="x",1)+IF(J371="x",1)+IF($M$76="x",2)+J369+IF($M$85="x",1)+IF($M$113="x",1)+IF($M$120="x",2)+IF($M$119="x",2)+IF($M$105="x",1)+IF($M$110="x",1)+IF($M$111="x",2)+IF($M$112="x",4)+IF($M$108="x",1)-IF($M$109="x",1)-IF($M$99="x",1)+IF($M$90="x",1)-IF($C$97="x",2,4),
IF(AND($C$3&gt;10,$C$3&lt;16),SUM($C$3,$I$2)-$C$120+IF($C$75="x",2)+$I$16-$B$10+$M$94+IF($C$77="x",2)-IF($C$78="x",4)-IF($I$78="x",1)-IF($C$79="x",4)+IF($C$80="x",1)-IF($I$77="x",2)-IF($I$90="x",2)+IF($I$83="x",2)-IF($C$83="x",4)-$C$112+IF(H369="x",1)+I369+$M$77+IF(H371="x",1)+IF(J371="x",1)+IF($M$76="x",2)+J369+IF($M$85="x",1)+IF($M$113="x",1)+IF($M$120="x",2)+IF($M$119="x",2)+IF($M$105="x",1)+IF($M$110="x",1)+IF($M$111="x",2)+IF($M$112="x",4)+IF($M$108="x",1)-IF($M$109="x",1)+IF($M$99="x",20)-IF($M$99="x",1)+IF($M$90="x",1)-IF($C$97="x",2,4)
&amp;"/"&amp;SUM($C$3,$I$2)-$C$120+IF($C$75="x",2)+$I$16-$B$10+$M$94+IF($C$77="x",2)-IF($C$78="x",4)-IF($I$78="x",1)-IF($C$79="x",4)+IF($C$80="x",1)-IF($I$77="x",2)-IF($I$90="x",2)+IF($I$83="x",2)-IF($C$83="x",4)-$C$112-5+IF(H705="x",1)+IF(H369="x",1)+I369+$M$77+IF(H371="x",1)+IF(J371="x",1)+IF($M$76="x",2)+J369+IF($M$85="x",1)+IF($M$113="x",1)+IF($M$120="x",2)+IF($M$119="x",2)+IF($M$105="x",1)+IF($M$110="x",1)+IF($M$111="x",2)+IF($M$112="x",4)+IF($M$108="x",1)-IF($M$109="x",1)-IF($M$99="x",1)+IF($M$90="x",1)-IF($C$97="x",2,4)
&amp;"/"&amp;SUM($C$3,$I$2)-$C$120+IF($C$75="x",2)+$I$16-$B$10+$M$94+IF($C$77="x",2)-IF($C$78="x",4)-IF($I$78="x",1)-IF($C$79="x",4)+IF($C$80="x",1)-IF($I$77="x",2)-IF($I$90="x",2)+IF($I$83="x",2)-IF($C$83="x",4)-$C$112-10+IF(H705="x",1)+IF(H369="x",1)+I369+$M$77+IF(H371="x",1)+IF(J371="x",1)+IF($M$76="x",2)+J369+IF($M$85="x",1)+IF($M$113="x",1)+IF($M$120="x",2)+IF($M$119="x",2)+IF($M$105="x",1)+IF($M$110="x",1)+IF($M$111="x",2)+IF($M$112="x",4)+IF($M$108="x",1)-IF($M$109="x",1)-IF($M$99="x",1)+IF($M$90="x",1)-IF($C$97="x",2,4),
IF(AND($C$3&gt;15),SUM($C$3,$I$2)-$C$120+IF($C$75="x",2)+$I$16-$B$10+$M$94+IF($C$77="x",2)-IF($C$78="x",4)-IF($I$78="x",1)-IF($C$79="x",4)+IF($C$80="x",1)-IF($I$77="x",2)-IF($I$90="x",2)+IF($I$83="x",2)-IF($C$83="x",4)-$C$112+IF(H369="x",1)+I369+$M$77+IF(H371="x",1)+IF(J371="x",1)+IF($M$76="x",2)+J369+IF($M$85="x",1)+IF($M$113="x",1)+IF($M$120="x",2)+IF($M$119="x",2)+IF($M$105="x",1)+IF($M$110="x",1)+IF($M$111="x",2)+IF($M$112="x",4)+IF($M$108="x",1)-IF($M$109="x",1)-IF($M$99="x",1)+IF($M$90="x",1)-IF($C$97="x",2,4)
&amp;"/"&amp;SUM($C$3,$I$2)-$C$120+IF($C$75="x",2)+$I$16-$B$10+$M$94+IF($C$77="x",2)-IF($C$78="x",4)-IF($I$78="x",1)-IF($C$79="x",4)+IF($C$80="x",1)-IF($I$77="x",2)-IF($I$90="x",2)+IF($I$83="x",2)-IF($C$83="x",4)-$C$112-5+IF(H705="x",1)+IF(H369="x",1)+I369+$M$77+IF(H371="x",1)+IF(J371="x",1)+IF($M$76="x",2)+J369+IF($M$85="x",1)+IF($M$113="x",1)+IF($M$120="x",2)+IF($M$119="x",2)+IF($M$105="x",1)+IF($M$110="x",1)+IF($M$111="x",2)+IF($M$112="x",4)+IF($M$108="x",1)-IF($M$109="x",1)-IF($M$99="x",1)+IF($M$90="x",1)-IF($C$97="x",2,4)
&amp;"/"&amp;SUM($C$3,$I$2)-$C$120+IF($C$75="x",2)+$I$16-$B$10+$M$94+IF($C$77="x",2)-IF($C$78="x",4)-IF($I$78="x",1)-IF($C$79="x",4)+IF($C$80="x",1)-IF($I$77="x",2)-IF($I$90="x",2)+IF($I$83="x",2)-IF($C$83="x",4)-$C$112-10+IF(H705="x",1)+IF(H369="x",1)+I369+$M$77+IF(H371="x",1)+IF(J371="x",1)+IF($M$76="x",2)+J369+IF($M$85="x",1)+IF($M$113="x",1)+IF($M$120="x",2)+IF($M$119="x",2)+IF($M$105="x",1)+IF($M$110="x",1)+IF($M$111="x",2)+IF($M$112="x",4)+IF($M$108="x",1)-IF($M$109="x",1)-IF($M$99="x",1)+IF($M$90="x",1)-IF($C$97="x",2,4)
&amp;"/"&amp;SUM($C$3,$I$2)-$C$120+IF($C$75="x",2)+$I$16-$B$10+$M$94+IF($C$77="x",2)-IF($C$78="x",4)-IF($I$78="x",1)-IF($C$79="x",4)+IF($C$80="x",1)-IF($I$77="x",2)-IF($I$90="x",2)+IF($I$83="x",2)-IF($C$83="x",4)-$C$112-15+IF(H705="x",1)+IF(H369="x",1)+I369+$M$77+IF(H371="x",1)+IF(J371="x",1)+IF($M$76="x",2)+J369+IF($M$85="x",1)+IF($M$113="x",1)+IF($M$120="x",2)+IF($M$119="x",2)+IF($M$105="x",1)+IF($M$110="x",1)+IF($M$111="x",2)+IF($M$112="x",4)+IF($M$108="x",1)-IF($M$109="x",1)-IF($M$99="x",1)+IF($M$90="x",1)-IF($C$97="x",2,4))))))</f>
        <v>-4</v>
      </c>
      <c r="C371" s="49" t="str">
        <f>_xlfn.IFS($C$7="Minimaalinen","1n2",$C$7="Taskukokoinen","1n3",$C$7="Hyvin pieni","1n4",$C$7="Pieni","1n6",$C$7="Keskikokoinen","1n8",$C$7="Iso","2n6",$C$7="Valtava","3n6",$C$7="Suunnaton","4n6",$C$7="Giganttinen","6n6")</f>
        <v>1n8</v>
      </c>
      <c r="D371" s="121">
        <f>SUM($I$2+$C$120)+I369+$M$77+IF(I371="x",2)+IF(K371="x",2)+IF($M$119="x",2)+IF($M$108="x",1)+$M$94-IF($M$109="x",1)+K369</f>
        <v>0</v>
      </c>
      <c r="E371" s="49" t="str">
        <f>_xlfn.IFS($C$7="Minimaalinen","3n2",$C$7="Taskukokoinen","3n3",$C$7="Hyvin pieni","3n4",$C$7="Pieni","3n6",$C$7="Keskikokoinen","3n8",$C$7="Iso","6n6",$C$7="Valtava","9n6",$C$7="Suunnaton","12n6",$C$7="Giganttinen","18n6")</f>
        <v>3n8</v>
      </c>
      <c r="F371" s="12">
        <f>SUM(D371*3)</f>
        <v>0</v>
      </c>
      <c r="G371" s="82" t="str">
        <f>(IF($I$89="x","50 %","")&amp;(IF($C$81="x","20 %",""))&amp;(IF($C$82="x","50 %","")))</f>
        <v/>
      </c>
      <c r="H371" s="28"/>
      <c r="I371" s="28"/>
      <c r="J371" s="28"/>
      <c r="K371" s="28"/>
      <c r="AB371" s="50"/>
      <c r="AC371" s="51"/>
      <c r="AD371" s="49"/>
      <c r="AE371" s="51"/>
      <c r="AF371" s="49"/>
      <c r="AG371" s="49"/>
      <c r="AH371" s="49"/>
      <c r="AI371" s="48"/>
      <c r="AJ371" s="48"/>
      <c r="AK371" s="48"/>
      <c r="AL371" s="48"/>
    </row>
    <row r="372" spans="1:38" x14ac:dyDescent="0.2">
      <c r="A372" s="25" t="s">
        <v>437</v>
      </c>
      <c r="B372" s="82">
        <f>IF($I$85="x","PAINISSA",IF($C$3&lt;=5,SUM($C$3,$I$2)-$C$120+IF($C$75="x",2)+$I$16-$B$10+$M$94+IF($C$77="x",2)-IF($C$78="x",4)-IF($I$78="x",1)-IF($C$79="x",4)+IF($C$80="x",1)-IF($I$77="x",2)-IF($I$90="x",2)+IF($I$83="x",2)-IF($C$75="x",4)-$C$112+IF(H369="x",1)+I369+$M$77+IF(H371="x",1)+IF(J371="x",1)+IF($M$76="x",2)+J369+IF($M$85="x",1)+IF($M$113="x",1)+IF($M$120="x",2)+IF($M$119="x",2)+IF($M$105="x",1)+IF($M$110="x",1)+IF($M$111="x",2)+IF($M$112="x",4)+IF($M$108="x",1)-IF($M$109="x",1)-IF($M$99="x",1)+IF($M$90="x",1)-IF($C$97="x",4,6),
IF(AND($C$3&gt;5,$C$3&lt;11),SUM($C$3,$I$2)-$C$120+IF($C$75="x",2)+$I$16-$B$10+$M$94+IF($C$77="x",2)-IF($C$78="x",4)-IF($I$78="x",1)-IF($C$79="x",4)+IF($C$80="x",1)-IF($I$77="x",2)-IF($I$90="x",2)+IF($I$83="x",2)-IF($C$83="x",4)-$C$112+IF(H369="x",1)+I369+$M$77+IF(H371="x",1)+IF(J371="x",1)+IF($M$76="x",2)+J369+IF($M$85="x",1)+IF($M$113="x",1)+IF($M$120="x",2)+IF($M$119="x",2)+IF($M$105="x",1)+IF($M$110="x",1)+IF($M$111="x",2)+IF($M$112="x",4)+IF($M$108="x",1)-IF($M$109="x",1)-IF($M$99="x",1)+IF($M$90="x",1)-IF($C$97="x",4,6)
&amp;"/"&amp;SUM($C$3,$I$2)-$C$120+IF($C$75="x",2)+$I$16-$B$10+$M$94+IF($C$77="x",2)-IF($C$78="x",4)-IF($I$78="x",1)-IF($C$79="x",4)+IF($C$80="x",1)-IF($I$77="x",2)-IF($I$90="x",2)+IF($I$83="x",2)-IF($C$83="x",4)-$C$112-5+IF(H369="x",1)+I369+$M$77+IF(H371="x",1)+IF(J371="x",1)+IF($M$76="x",2)+J369+IF($M$85="x",1)+IF($M$113="x",1)+IF($M$120="x",2)+IF($M$119="x",2)+IF($M$105="x",1)+IF($M$110="x",1)+IF($M$111="x",2)+IF($M$112="x",4)+IF($M$108="x",1)-IF($M$109="x",1)-IF($M$99="x",1)+IF($M$90="x",1)-IF($C$97="x",4,6),
IF(AND($C$3&gt;10,$C$3&lt;16),SUM($C$3,$I$2)-$C$120+IF($C$75="x",2)+$I$16-$B$10+$M$94+IF($C$77="x",2)-IF($C$78="x",4)-IF($I$78="x",1)-IF($C$79="x",4)+IF($C$80="x",1)-IF($I$77="x",2)-IF($I$90="x",2)+IF($I$83="x",2)-IF($C$83="x",4)-$C$112+IF(H369="x",1)+I369+$M$77+IF(H371="x",1)+IF(J371="x",1)+IF($M$76="x",2)+J369+IF($M$85="x",1)+IF($M$113="x",1)+IF($M$120="x",2)+IF($M$119="x",2)+IF($M$105="x",1)+IF($M$110="x",1)+IF($M$111="x",2)+IF($M$112="x",4)+IF($M$108="x",1)-IF($M$109="x",1)+IF($M$99="x",20)-IF($M$99="x",1)+IF($M$90="x",1)-IF($C$97="x",4,6)
&amp;"/"&amp;SUM($C$3,$I$2)-$C$120+IF($C$75="x",2)+$I$16-$B$10+$M$94+IF($C$77="x",2)-IF($C$78="x",4)-IF($I$78="x",1)-IF($C$79="x",4)+IF($C$80="x",1)-IF($I$77="x",2)-IF($I$90="x",2)+IF($I$83="x",2)-IF($C$83="x",4)-$C$112-5+IF(H705="x",1)+IF(H369="x",1)+I369+$M$77+IF(H371="x",1)+IF(J371="x",1)+IF($M$76="x",2)+J369+IF($M$85="x",1)+IF($M$113="x",1)+IF($M$120="x",2)+IF($M$119="x",2)+IF($M$105="x",1)+IF($M$110="x",1)+IF($M$111="x",2)+IF($M$112="x",4)+IF($M$108="x",1)-IF($M$109="x",1)-IF($M$99="x",1)+IF($M$90="x",1)-IF($C$97="x",4,6)
&amp;"/"&amp;SUM($C$3,$I$2)-$C$120+IF($C$75="x",2)+$I$16-$B$10+$M$94+IF($C$77="x",2)-IF($C$78="x",4)-IF($I$78="x",1)-IF($C$79="x",4)+IF($C$80="x",1)-IF($I$77="x",2)-IF($I$90="x",2)+IF($I$83="x",2)-IF($C$83="x",4)-$C$112-10+IF(H705="x",1)+IF(H369="x",1)+I369+$M$77+IF(H371="x",1)+IF(J371="x",1)+IF($M$76="x",2)+J369+IF($M$85="x",1)+IF($M$113="x",1)+IF($M$120="x",2)+IF($M$119="x",2)+IF($M$105="x",1)+IF($M$110="x",1)+IF($M$111="x",2)+IF($M$112="x",4)+IF($M$108="x",1)-IF($M$109="x",1)-IF($M$99="x",1)+IF($M$90="x",1)-IF($C$97="x",4,6),
IF(AND($C$3&gt;15),SUM($C$3,$I$2)-$C$120+IF($C$75="x",2)+$I$16-$B$10+$M$94+IF($C$77="x",2)-IF($C$78="x",4)-IF($I$78="x",1)-IF($C$79="x",4)+IF($C$80="x",1)-IF($I$77="x",2)-IF($I$90="x",2)+IF($I$83="x",2)-IF($C$83="x",4)-$C$112+IF(H369="x",1)+I369+$M$77+IF(H371="x",1)+IF(J371="x",1)+IF($M$76="x",2)+J369+IF($M$85="x",1)+IF($M$113="x",1)+IF($M$120="x",2)+IF($M$119="x",2)+IF($M$105="x",1)+IF($M$110="x",1)+IF($M$111="x",2)+IF($M$112="x",4)+IF($M$108="x",1)-IF($M$109="x",1)-IF($M$99="x",1)+IF($M$90="x",1)-IF($C$97="x",4,6)
&amp;"/"&amp;SUM($C$3,$I$2)-$C$120+IF($C$75="x",2)+$I$16-$B$10+$M$94+IF($C$77="x",2)-IF($C$78="x",4)-IF($I$78="x",1)-IF($C$79="x",4)+IF($C$80="x",1)-IF($I$77="x",2)-IF($I$90="x",2)+IF($I$83="x",2)-IF($C$83="x",4)-$C$112-5+IF(H705="x",1)+IF(H369="x",1)+I369+$M$77+IF(H371="x",1)+IF(J371="x",1)+IF($M$76="x",2)+J369+IF($M$85="x",1)+IF($M$113="x",1)+IF($M$120="x",2)+IF($M$119="x",2)+IF($M$105="x",1)+IF($M$110="x",1)+IF($M$111="x",2)+IF($M$112="x",4)+IF($M$108="x",1)-IF($M$109="x",1)-IF($M$99="x",1)+IF($M$90="x",1)-IF($C$97="x",4,6)
&amp;"/"&amp;SUM($C$3,$I$2)-$C$120+IF($C$75="x",2)+$I$16-$B$10+$M$94+IF($C$77="x",2)-IF($C$78="x",4)-IF($I$78="x",1)-IF($C$79="x",4)+IF($C$80="x",1)-IF($I$77="x",2)-IF($I$90="x",2)+IF($I$83="x",2)-IF($C$83="x",4)-$C$112-10+IF(H705="x",1)+IF(H369="x",1)+I369+$M$77+IF(H371="x",1)+IF(J371="x",1)+IF($M$76="x",2)+J369+IF($M$85="x",1)+IF($M$113="x",1)+IF($M$120="x",2)+IF($M$119="x",2)+IF($M$105="x",1)+IF($M$110="x",1)+IF($M$111="x",2)+IF($M$112="x",4)+IF($M$108="x",1)-IF($M$109="x",1)-IF($M$99="x",1)+IF($M$90="x",1)-IF($C$97="x",4,6)
&amp;"/"&amp;SUM($C$3,$I$2)-$C$120+IF($C$75="x",2)+$I$16-$B$10+$M$94+IF($C$77="x",2)-IF($C$78="x",4)-IF($I$78="x",1)-IF($C$79="x",4)+IF($C$80="x",1)-IF($I$77="x",2)-IF($I$90="x",2)+IF($I$83="x",2)-IF($C$83="x",4)-$C$112-15+IF(H705="x",1)+IF(H369="x",1)+I369+$M$77+IF(H371="x",1)+IF(J371="x",1)+IF($M$76="x",2)+J369+IF($M$85="x",1)+IF($M$113="x",1)+IF($M$120="x",2)+IF($M$119="x",2)+IF($M$105="x",1)+IF($M$110="x",1)+IF($M$111="x",2)+IF($M$112="x",4)+IF($M$108="x",1)-IF($M$109="x",1)-IF($M$99="x",1)+IF($M$90="x",1)-IF($C$97="x",4,6))))))</f>
        <v>-6</v>
      </c>
      <c r="C372" s="49" t="str">
        <f>_xlfn.IFS($C$7="Minimaalinen","1n2",$C$7="Taskukokoinen","1n3",$C$7="Hyvin pieni","1n4",$C$7="Pieni","1n6",$C$7="Keskikokoinen","1n8",$C$7="Iso","2n6",$C$7="Valtava","3n6",$C$7="Suunnaton","4n6",$C$7="Giganttinen","6n6")</f>
        <v>1n8</v>
      </c>
      <c r="D372" s="121">
        <f>SUM($I$2+$C$120)+I369+$M$77+IF(I371="x",2)+IF(K371="x",2)+IF($M$119="x",2)+IF($M$108="x",1)+$M$94-IF($M$109="x",1)+K369</f>
        <v>0</v>
      </c>
      <c r="E372" s="49" t="str">
        <f>_xlfn.IFS($C$7="Minimaalinen","3n2",$C$7="Taskukokoinen","3n3",$C$7="Hyvin pieni","3n4",$C$7="Pieni","3n6",$C$7="Keskikokoinen","3n8",$C$7="Iso","6n6",$C$7="Valtava","9n6",$C$7="Suunnaton","12n6",$C$7="Giganttinen","18n6")</f>
        <v>3n8</v>
      </c>
      <c r="F372" s="12">
        <f>SUM(D372*3)</f>
        <v>0</v>
      </c>
      <c r="G372" s="82" t="str">
        <f>(IF($I$89="x","50 %","")&amp;(IF($C$81="x","20 %",""))&amp;(IF($C$82="x","50 %","")))</f>
        <v/>
      </c>
      <c r="H372" s="48"/>
      <c r="I372" s="15"/>
      <c r="AB372" s="52"/>
      <c r="AC372" s="53"/>
      <c r="AD372" s="54"/>
      <c r="AE372" s="53"/>
      <c r="AF372" s="54"/>
      <c r="AG372" s="54"/>
      <c r="AH372" s="53"/>
      <c r="AI372" s="40"/>
      <c r="AJ372" s="40"/>
      <c r="AK372" s="40"/>
      <c r="AL372" s="40"/>
    </row>
    <row r="373" spans="1:38" x14ac:dyDescent="0.2">
      <c r="A373" s="122" t="s">
        <v>436</v>
      </c>
      <c r="B373" s="123">
        <f>IF($I$85="x","PAINISSA",IF(AND($C$90="",$C$118=""),SUM($C$3,$I$2)-$C$120+IF($C$75="x",2)+$I$16-$B$10+$M$94+IF($C$77="x",2)-IF($C$78="x",4)-IF($I$78="x",1)-IF($C$79="x",4)+IF($C$80="x",1)-IF($I$77="x",2)-IF($I$90="x",2)+IF($I$83="x",2)-IF($C$75="x",4)-$C$112+IF(H369="x",1)+I369+$M$77+IF(H371="x",1)+IF(J371="x",1)+IF($M$76="x",2)+J369+IF($M$85="x",1)+IF($M$113="x",1)+IF($M$120="x",2)+IF($M$119="x",2)+IF($M$105="x",1)+IF($M$110="x",1)+IF($M$111="x",2)+IF($M$112="x",4)+IF($M$108="x",1)-IF($M$109="x",1)-IF($M$99="x",1)+IF($M$90="x",1)-IF($C$97="x",4,10),
IF(AND($C$90="x",$C$118=""),SUM($C$3,$I$2)-$C$120+IF($C$75="x",2)+$I$16-$B$10+$M$94+IF($C$77="x",2)-IF($C$78="x",4)-IF($I$78="x",1)-IF($C$79="x",4)+IF($C$80="x",1)-IF($I$77="x",2)-IF($I$90="x",2)+IF($I$83="x",2)-IF($C$83="x",4)-$C$112+IF(H369="x",1)+I369+$M$77+IF(H371="x",1)+IF(J371="x",1)+IF($M$76="x",2)+J369+IF($M$85="x",1)+IF($M$113="x",1)+IF($M$120="x",2)+IF($M$119="x",2)+IF($M$105="x",1)+IF($M$110="x",1)+IF($M$111="x",2)+IF($M$112="x",4)+IF($M$108="x",1)-IF($M$109="x",1)-IF($M$99="x",1)+IF($M$90="x",1)-IF($C$97="x",4,10)
&amp;"/"&amp;SUM($C$3,$I$2)-$C$120+IF($C$75="x",2)+$I$16-$B$10+$M$94+IF($C$77="x",2)-IF($C$78="x",4)-IF($I$78="x",1)-IF($C$79="x",4)+IF($C$80="x",1)-IF($I$77="x",2)-IF($I$90="x",2)+IF($I$83="x",2)-IF($C$83="x",4)-$C$112+IF(H369="x",1)+I369+$M$77+IF(H371="x",1)+IF(J371="x",1)+IF($M$76="x",2)+J369+IF($M$85="x",1)+IF($M$113="x",1)+IF($M$120="x",2)+IF($M$119="x",2)+IF($M$105="x",1)+IF($M$110="x",1)+IF($M$111="x",2)+IF($M$112="x",4)+IF($M$108="x",1)-IF($M$109="x",1)-IF($M$99="x",1)+IF($M$90="x",1)-IF($C$97="x",4,10)-5,
IF(AND($C$90="x",$C$118="x"),SUM($C$3,$I$2)-$C$120+IF($C$75="x",2)+$I$16-$B$10+$M$94+IF($C$77="x",2)-IF($C$78="x",4)-IF($I$78="x",1)-IF($C$79="x",4)+IF($C$80="x",1)-IF($I$77="x",2)-IF($I$90="x",2)+IF($I$83="x",2)-IF($C$83="x",4)-$C$112+IF(H369="x",1)+I369+$M$77+IF(H371="x",1)+IF(J371="x",1)+IF($M$76="x",2)+J369+IF($M$85="x",1)+IF($M$113="x",1)+IF($M$120="x",2)+IF($M$119="x",2)+IF($M$105="x",1)+IF($M$110="x",1)+IF($M$111="x",2)+IF($M$112="x",4)+IF($M$108="x",1)-IF($M$109="x",1)+IF($M$99="x",20)-IF($M$99="x",1)+IF($M$90="x",1)-IF($C$97="x",4,10)
&amp;"/"&amp;SUM($C$3,$I$2)-$C$120+IF($C$75="x",2)+$I$16-$B$10+$M$94+IF($C$77="x",2)-IF($C$78="x",4)-IF($I$78="x",1)-IF($C$79="x",4)+IF($C$80="x",1)-IF($I$77="x",2)-IF($I$90="x",2)+IF($I$83="x",2)-IF($C$83="x",4)-$C$112-5+IF(H369="x",1)+I369+$M$77+IF(H371="x",1)+IF(J371="x",1)+IF($M$76="x",2)+J369+IF($M$85="x",1)+IF($M$113="x",1)+IF($M$120="x",2)+IF($M$119="x",2)+IF($M$105="x",1)+IF($M$110="x",1)+IF($M$111="x",2)+IF($M$112="x",4)+IF($M$108="x",1)-IF($M$109="x",1)-IF($M$99="x",1)+IF($M$90="x",1)-IF($C$97="x",4,10)
&amp;"/"&amp;SUM($C$3,$I$2)-$C$120+IF($C$75="x",2)+$I$16-$B$10+$M$94+IF($C$77="x",2)-IF($C$78="x",4)-IF($I$78="x",1)-IF($C$79="x",4)+IF($C$80="x",1)-IF($I$77="x",2)-IF($I$90="x",2)+IF($I$83="x",2)-IF($C$83="x",4)-$C$112-10+IF(H369="x",1)+I369+$M$77+IF(H371="x",1)+IF(J371="x",1)+IF($M$76="x",2)+J369+IF($M$85="x",1)+IF($M$113="x",1)+IF($M$120="x",2)+IF($M$119="x",2)+IF($M$105="x",1)+IF($M$110="x",1)+IF($M$111="x",2)+IF($M$112="x",4)+IF($M$108="x",1)-IF($M$109="x",1)-IF($M$99="x",1)+IF($M$90="x",1)-IF($C$97="x",4,10)))))</f>
        <v>-10</v>
      </c>
      <c r="C373" s="54" t="str">
        <f>_xlfn.IFS($C$7="Minimaalinen","1n2",$C$7="Taskukokoinen","1n3",$C$7="Hyvin pieni","1n4",$C$7="Pieni","1n6",$C$7="Keskikokoinen","1n8",$C$7="Iso","2n6",$C$7="Valtava","3n6",$C$7="Suunnaton","4n6",$C$7="Giganttinen","6n6")</f>
        <v>1n8</v>
      </c>
      <c r="D373" s="123">
        <f>INT($I$2/2)+($C$120)+I369+$M$77+IF(I371="x",2)+IF(K371="x",2)+IF($M$119="x",2)+IF($M$108="x",1)+$M$94+K369-IF($M$109="x",1)</f>
        <v>0</v>
      </c>
      <c r="E373" s="54" t="str">
        <f>_xlfn.IFS($C$7="Minimaalinen","3n2",$C$7="Taskukokoinen","3n3",$C$7="Hyvin pieni","3n4",$C$7="Pieni","3n6",$C$7="Keskikokoinen","3n8",$C$7="Iso","6n6",$C$7="Valtava","9n6",$C$7="Suunnaton","12n6",$C$7="Giganttinen","18n6")</f>
        <v>3n8</v>
      </c>
      <c r="F373" s="124">
        <f>SUM(D373*3)</f>
        <v>0</v>
      </c>
      <c r="G373" s="124" t="str">
        <f>(IF($I$89="x","50 %","")&amp;(IF($C$81="x","20 %",""))&amp;(IF($C$82="x","50 %","")))</f>
        <v/>
      </c>
      <c r="H373" s="40"/>
      <c r="K373" s="82"/>
    </row>
    <row r="374" spans="1:38" x14ac:dyDescent="0.2">
      <c r="B374" s="15"/>
      <c r="C374" s="15"/>
      <c r="D374" s="15"/>
      <c r="F374" s="15"/>
      <c r="G374" s="15"/>
      <c r="H374" s="15"/>
      <c r="I374" s="15"/>
    </row>
    <row r="375" spans="1:38" x14ac:dyDescent="0.2">
      <c r="B375" s="15"/>
      <c r="C375" s="15"/>
      <c r="D375" s="15"/>
      <c r="F375" s="15"/>
      <c r="G375" s="15"/>
      <c r="H375" s="15"/>
      <c r="I375" s="15"/>
      <c r="AB375" s="46"/>
      <c r="AC375" s="48"/>
      <c r="AD375" s="48"/>
      <c r="AE375" s="48"/>
      <c r="AF375" s="48"/>
      <c r="AG375" s="48"/>
      <c r="AH375" s="48"/>
      <c r="AI375" s="48"/>
      <c r="AJ375" s="48"/>
      <c r="AK375" s="48"/>
      <c r="AL375" s="48"/>
    </row>
    <row r="376" spans="1:38" x14ac:dyDescent="0.2">
      <c r="A376" s="10" t="s">
        <v>305</v>
      </c>
      <c r="B376" s="11" t="s">
        <v>1</v>
      </c>
      <c r="C376" s="11" t="s">
        <v>2</v>
      </c>
      <c r="D376" s="11" t="s">
        <v>3</v>
      </c>
      <c r="E376" s="11" t="s">
        <v>229</v>
      </c>
      <c r="F376" s="11" t="s">
        <v>3</v>
      </c>
      <c r="G376" s="11" t="s">
        <v>45</v>
      </c>
      <c r="H376" s="14" t="s">
        <v>179</v>
      </c>
      <c r="I376" s="130" t="s">
        <v>242</v>
      </c>
      <c r="J376" s="130" t="s">
        <v>224</v>
      </c>
      <c r="K376" s="130" t="s">
        <v>225</v>
      </c>
      <c r="AC376" s="41"/>
      <c r="AD376" s="49"/>
      <c r="AE376" s="41"/>
      <c r="AF376" s="49"/>
      <c r="AG376" s="40"/>
      <c r="AH376" s="40"/>
      <c r="AI376" s="40"/>
      <c r="AJ376" s="40"/>
      <c r="AK376" s="40"/>
      <c r="AL376" s="40"/>
    </row>
    <row r="377" spans="1:38" x14ac:dyDescent="0.2">
      <c r="A377" s="85" t="s">
        <v>219</v>
      </c>
      <c r="B377" s="98">
        <f>IF($I$85="x","PAINISSA",IF($C$3&lt;=5,SUM($C$3,$I$2)-$C$120+IF($C$75="x",2)+$I$16-$B$10+$M$94+IF($C$77="x",2)-IF($C$78="x",4)-IF($I$78="x",1)-IF($C$79="x",4)+IF($C$80="x",1)-IF($I$77="x",2)-IF($I$90="x",2)+IF($I$83="x",2)-IF($C$75="x",4)-$C$112+IF(H377="x",1)+I377+$M$77+IF(H379="x",1)+IF(J379="x",1)+IF($M$76="x",2)+J377+IF($M$85="x",1)+IF($M$113="x",1)+IF($M$120="x",2)+IF($M$119="x",2)+IF($M$105="x",1)+IF($M$110="x",1)+IF($M$111="x",2)+IF($M$112="x",4)+IF($M$108="x",1)-IF($M$109="x",1)-IF($M$99="x",1)+IF($M$90="x",1),
IF(AND($C$3&gt;5,$C$3&lt;11),SUM($C$3,$I$2)-$C$120+IF($C$75="x",2)+$I$16-$B$10+$M$94+IF($C$77="x",2)-IF($C$78="x",4)-IF($I$78="x",1)-IF($C$79="x",4)+IF($C$80="x",1)-IF($I$77="x",2)-IF($I$90="x",2)+IF($I$83="x",2)-IF($C$83="x",4)-$C$112+IF(H377="x",1)+I377+$M$77+IF(H379="x",1)+IF(J379="x",1)+IF($M$76="x",2)+J377+IF($M$85="x",1)+IF($M$113="x",1)+IF($M$120="x",2)+IF($M$119="x",2)+IF($M$105="x",1)+IF($M$110="x",1)+IF($M$111="x",2)+IF($M$112="x",4)+IF($M$108="x",1)-IF($M$109="x",1)-IF($M$99="x",1)+IF($M$90="x",1)
&amp;"/"&amp;SUM($C$3,$I$2)-$C$120+IF($C$75="x",2)+$I$16-$B$10+$M$94+IF($C$77="x",2)-IF($C$78="x",4)-IF($I$78="x",1)-IF($C$79="x",4)+IF($C$80="x",1)-IF($I$77="x",2)-IF($I$90="x",2)+IF($I$83="x",2)-IF($C$83="x",4)-$C$112-5+IF(H377="x",1)+I377+$M$77+IF(H379="x",1)+IF(J379="x",1)+IF($M$76="x",2)+J377+IF($M$85="x",1)+IF($M$113="x",1)+IF($M$120="x",2)+IF($M$119="x",2)+IF($M$105="x",1)+IF($M$110="x",1)+IF($M$111="x",2)+IF($M$112="x",4)+IF($M$108="x",1)-IF($M$109="x",1)-IF($M$99="x",1)+IF($M$90="x",1),
IF(AND($C$3&gt;10,$C$3&lt;16),SUM($C$3,$I$2)-$C$120+IF($C$75="x",2)+$I$16-$B$10+$M$94+IF($C$77="x",2)-IF($C$78="x",4)-IF($I$78="x",1)-IF($C$79="x",4)+IF($C$80="x",1)-IF($I$77="x",2)-IF($I$90="x",2)+IF($I$83="x",2)-IF($C$83="x",4)-$C$112+IF(H377="x",1)+I377+$M$77+IF(H379="x",1)+IF(J379="x",1)+IF($M$76="x",2)+J377+IF($M$85="x",1)+IF($M$113="x",1)+IF($M$120="x",2)+IF($M$119="x",2)+IF($M$105="x",1)+IF($M$110="x",1)+IF($M$111="x",2)+IF($M$112="x",4)+IF($M$108="x",1)-IF($M$109="x",1)+IF($M$99="x",20)-IF($M$99="x",1)+IF($M$90="x",1)
&amp;"/"&amp;SUM($C$3,$I$2)-$C$120+IF($C$75="x",2)+$I$16-$B$10+$M$94+IF($C$77="x",2)-IF($C$78="x",4)-IF($I$78="x",1)-IF($C$79="x",4)+IF($C$80="x",1)-IF($I$77="x",2)-IF($I$90="x",2)+IF($I$83="x",2)-IF($C$83="x",4)-$C$112-5+IF(H713="x",1)+IF(H377="x",1)+I377+$M$77+IF(H379="x",1)+IF(J379="x",1)+IF($M$76="x",2)+J377+IF($M$85="x",1)+IF($M$113="x",1)+IF($M$120="x",2)+IF($M$119="x",2)+IF($M$105="x",1)+IF($M$110="x",1)+IF($M$111="x",2)+IF($M$112="x",4)+IF($M$108="x",1)-IF($M$109="x",1)-IF($M$99="x",1)+IF($M$90="x",1)
&amp;"/"&amp;SUM($C$3,$I$2)-$C$120+IF($C$75="x",2)+$I$16-$B$10+$M$94+IF($C$77="x",2)-IF($C$78="x",4)-IF($I$78="x",1)-IF($C$79="x",4)+IF($C$80="x",1)-IF($I$77="x",2)-IF($I$90="x",2)+IF($I$83="x",2)-IF($C$83="x",4)-$C$112-10+IF(H713="x",1)+IF(H377="x",1)+I377+$M$77+IF(H379="x",1)+IF(J379="x",1)+IF($M$76="x",2)+J377+IF($M$85="x",1)+IF($M$113="x",1)+IF($M$120="x",2)+IF($M$119="x",2)+IF($M$105="x",1)+IF($M$110="x",1)+IF($M$111="x",2)+IF($M$112="x",4)+IF($M$108="x",1)-IF($M$109="x",1)-IF($M$99="x",1)+IF($M$90="x",1),
IF(AND($C$3&gt;15),SUM($C$3,$I$2)-$C$120+IF($C$75="x",2)+$I$16-$B$10+$M$94+IF($C$77="x",2)-IF($C$78="x",4)-IF($I$78="x",1)-IF($C$79="x",4)+IF($C$80="x",1)-IF($I$77="x",2)-IF($I$90="x",2)+IF($I$83="x",2)-IF($C$83="x",4)-$C$112+IF(H377="x",1)+I377+$M$77+IF(H379="x",1)+IF(J379="x",1)+IF($M$76="x",2)+J377+IF($M$85="x",1)+IF($M$113="x",1)+IF($M$120="x",2)+IF($M$119="x",2)+IF($M$105="x",1)+IF($M$110="x",1)+IF($M$111="x",2)+IF($M$112="x",4)+IF($M$108="x",1)-IF($M$109="x",1)-IF($M$99="x",1)+IF($M$90="x",1)
&amp;"/"&amp;SUM($C$3,$I$2)-$C$120+IF($C$75="x",2)+$I$16-$B$10+$M$94+IF($C$77="x",2)-IF($C$78="x",4)-IF($I$78="x",1)-IF($C$79="x",4)+IF($C$80="x",1)-IF($I$77="x",2)-IF($I$90="x",2)+IF($I$83="x",2)-IF($C$83="x",4)-$C$112-5+IF(H713="x",1)+IF(H377="x",1)+I377+$M$77+IF(H379="x",1)+IF(J379="x",1)+IF($M$76="x",2)+J377+IF($M$85="x",1)+IF($M$113="x",1)+IF($M$120="x",2)+IF($M$119="x",2)+IF($M$105="x",1)+IF($M$110="x",1)+IF($M$111="x",2)+IF($M$112="x",4)+IF($M$108="x",1)-IF($M$109="x",1)-IF($M$99="x",1)+IF($M$90="x",1)
&amp;"/"&amp;SUM($C$3,$I$2)-$C$120+IF($C$75="x",2)+$I$16-$B$10+$M$94+IF($C$77="x",2)-IF($C$78="x",4)-IF($I$78="x",1)-IF($C$79="x",4)+IF($C$80="x",1)-IF($I$77="x",2)-IF($I$90="x",2)+IF($I$83="x",2)-IF($C$83="x",4)-$C$112-10+IF(H713="x",1)+IF(H377="x",1)+I377+$M$77+IF(H379="x",1)+IF(J379="x",1)+IF($M$76="x",2)+J377+IF($M$85="x",1)+IF($M$113="x",1)+IF($M$120="x",2)+IF($M$119="x",2)+IF($M$105="x",1)+IF($M$110="x",1)+IF($M$111="x",2)+IF($M$112="x",4)+IF($M$108="x",1)-IF($M$109="x",1)-IF($M$99="x",1)+IF($M$90="x",1)
&amp;"/"&amp;SUM($C$3,$I$2)-$C$120+IF($C$75="x",2)+$I$16-$B$10+$M$94+IF($C$77="x",2)-IF($C$78="x",4)-IF($I$78="x",1)-IF($C$79="x",4)+IF($C$80="x",1)-IF($I$77="x",2)-IF($I$90="x",2)+IF($I$83="x",2)-IF($C$83="x",4)-$C$112-15+IF(H713="x",1)+IF(H377="x",1)+I377+$M$77+IF(H379="x",1)+IF(J379="x",1)+IF($M$76="x",2)+J377+IF($M$85="x",1)+IF($M$113="x",1)+IF($M$120="x",2)+IF($M$119="x",2)+IF($M$105="x",1)+IF($M$110="x",1)+IF($M$111="x",2)+IF($M$112="x",4)+IF($M$108="x",1)-IF($M$109="x",1)-IF($M$99="x",1)+IF($M$90="x",1))))))</f>
        <v>0</v>
      </c>
      <c r="C377" s="66" t="str">
        <f>_xlfn.IFS($C$7="Minimaalinen","1n2",$C$7="Taskukokoinen","1n3",$C$7="Hyvin pieni","1n4",$C$7="Pieni","1n6",$C$7="Keskikokoinen","1n8",$C$7="Iso","2n6",$C$7="Valtava","3n6",$C$7="Suunnaton","4n6",$C$7="Giganttinen","6n6")</f>
        <v>1n8</v>
      </c>
      <c r="D377" s="97">
        <f>SUM($I$2+$C$120)+I377+$M$77+IF(I379="x",2)+IF(K379="x",2)+IF($M$119="x",2)+IF($M$108="x",1)+$M$94-IF($M$109="x",1)+K377</f>
        <v>0</v>
      </c>
      <c r="E377" s="66" t="str">
        <f>_xlfn.IFS($C$7="Minimaalinen","3n2",$C$7="Taskukokoinen","3n3",$C$7="Hyvin pieni","3n4",$C$7="Pieni","3n6",$C$7="Keskikokoinen","3n8",$C$7="Iso","6n6",$C$7="Valtava","9n6",$C$7="Suunnaton","12n6",$C$7="Giganttinen","18n6")</f>
        <v>3n8</v>
      </c>
      <c r="F377" s="98">
        <f>SUM(D377*3)</f>
        <v>0</v>
      </c>
      <c r="G377" s="98" t="str">
        <f>(IF($I$89="x","50 %","")&amp;(IF($C$81="x","20 %",""))&amp;(IF($C$82="x","50 %","")))</f>
        <v/>
      </c>
      <c r="H377" s="28"/>
      <c r="I377" s="17">
        <v>0</v>
      </c>
      <c r="J377" s="17">
        <v>0</v>
      </c>
      <c r="K377" s="17">
        <v>0</v>
      </c>
      <c r="AB377" s="50"/>
      <c r="AC377" s="51"/>
      <c r="AD377" s="49"/>
      <c r="AE377" s="51"/>
      <c r="AF377" s="49"/>
      <c r="AG377" s="40"/>
      <c r="AH377" s="49"/>
      <c r="AI377" s="48"/>
      <c r="AJ377" s="48"/>
      <c r="AK377" s="48"/>
      <c r="AL377" s="48"/>
    </row>
    <row r="378" spans="1:38" x14ac:dyDescent="0.2">
      <c r="A378" s="58" t="s">
        <v>8</v>
      </c>
      <c r="B378" s="119">
        <f>IF($I$85="x","PAINISSA",IF($C$3&lt;=5,SUM($C$3,$I$2)-$C$120+IF($C$75="x",2)+$I$16-$B$10+$M$94+IF($C$77="x",2)-IF($C$78="x",4)-IF($I$78="x",1)-IF($C$79="x",4)+IF($C$80="x",1)-IF($I$77="x",2)-IF($I$90="x",2)+IF($I$83="x",2)-IF($C$75="x",4)-$C$112+IF(H377="x",1)+I377+$M$77+IF(H379="x",1)+IF(J379="x",1)+IF($M$76="x",2)+J377+IF($M$85="x",1)+IF($M$113="x",1)+IF($M$120="x",2)+IF($M$119="x",2)+IF($M$105="x",1)+IF($M$110="x",1)+IF($M$111="x",2)+IF($M$112="x",4)+IF($M$108="x",1)-IF($M$109="x",1)-IF($M$99="x",1)+IF($M$90="x",1),
IF(AND($C$3&gt;5,$C$3&lt;11),SUM($C$3,$I$2)-$C$120+IF($C$75="x",2)+$I$16-$B$10+$M$94+IF($C$77="x",2)-IF($C$78="x",4)-IF($I$78="x",1)-IF($C$79="x",4)+IF($C$80="x",1)-IF($I$77="x",2)-IF($I$90="x",2)+IF($I$83="x",2)-IF($C$83="x",4)-$C$112+IF(H377="x",1)+I377+$M$77+IF(H379="x",1)+IF(J379="x",1)+IF($M$76="x",2)+J377+IF($M$85="x",1)+IF($M$113="x",1)+IF($M$120="x",2)+IF($M$119="x",2)+IF($M$105="x",1)+IF($M$110="x",1)+IF($M$111="x",2)+IF($M$112="x",4)+IF($M$108="x",1)-IF($M$109="x",1)-IF($M$99="x",1)+IF($M$90="x",1)
&amp;"/"&amp;SUM($C$3,$I$2)-$C$120+IF($C$75="x",2)+$I$16-$B$10+$M$94+IF($C$77="x",2)-IF($C$78="x",4)-IF($I$78="x",1)-IF($C$79="x",4)+IF($C$80="x",1)-IF($I$77="x",2)-IF($I$90="x",2)+IF($I$83="x",2)-IF($C$83="x",4)-$C$112-5+IF(H377="x",1)+I377+$M$77+IF(H379="x",1)+IF(J379="x",1)+IF($M$76="x",2)+J377+IF($M$85="x",1)+IF($M$113="x",1)+IF($M$120="x",2)+IF($M$119="x",2)+IF($M$105="x",1)+IF($M$110="x",1)+IF($M$111="x",2)+IF($M$112="x",4)+IF($M$108="x",1)-IF($M$109="x",1)-IF($M$99="x",1)+IF($M$90="x",1),
IF(AND($C$3&gt;10,$C$3&lt;16),SUM($C$3,$I$2)-$C$120+IF($C$75="x",2)+$I$16-$B$10+$M$94+IF($C$77="x",2)-IF($C$78="x",4)-IF($I$78="x",1)-IF($C$79="x",4)+IF($C$80="x",1)-IF($I$77="x",2)-IF($I$90="x",2)+IF($I$83="x",2)-IF($C$83="x",4)-$C$112+IF(H377="x",1)+I377+$M$77+IF(H379="x",1)+IF(J379="x",1)+IF($M$76="x",2)+J377+IF($M$85="x",1)+IF($M$113="x",1)+IF($M$120="x",2)+IF($M$119="x",2)+IF($M$105="x",1)+IF($M$110="x",1)+IF($M$111="x",2)+IF($M$112="x",4)+IF($M$108="x",1)-IF($M$109="x",1)+IF($M$99="x",20)-IF($M$99="x",1)+IF($M$90="x",1)
&amp;"/"&amp;SUM($C$3,$I$2)-$C$120+IF($C$75="x",2)+$I$16-$B$10+$M$94+IF($C$77="x",2)-IF($C$78="x",4)-IF($I$78="x",1)-IF($C$79="x",4)+IF($C$80="x",1)-IF($I$77="x",2)-IF($I$90="x",2)+IF($I$83="x",2)-IF($C$83="x",4)-$C$112-5+IF(H713="x",1)+IF(H377="x",1)+I377+$M$77+IF(H379="x",1)+IF(J379="x",1)+IF($M$76="x",2)+J377+IF($M$85="x",1)+IF($M$113="x",1)+IF($M$120="x",2)+IF($M$119="x",2)+IF($M$105="x",1)+IF($M$110="x",1)+IF($M$111="x",2)+IF($M$112="x",4)+IF($M$108="x",1)-IF($M$109="x",1)-IF($M$99="x",1)+IF($M$90="x",1)
&amp;"/"&amp;SUM($C$3,$I$2)-$C$120+IF($C$75="x",2)+$I$16-$B$10+$M$94+IF($C$77="x",2)-IF($C$78="x",4)-IF($I$78="x",1)-IF($C$79="x",4)+IF($C$80="x",1)-IF($I$77="x",2)-IF($I$90="x",2)+IF($I$83="x",2)-IF($C$83="x",4)-$C$112-10+IF(H713="x",1)+IF(H377="x",1)+I377+$M$77+IF(H379="x",1)+IF(J379="x",1)+IF($M$76="x",2)+J377+IF($M$85="x",1)+IF($M$113="x",1)+IF($M$120="x",2)+IF($M$119="x",2)+IF($M$105="x",1)+IF($M$110="x",1)+IF($M$111="x",2)+IF($M$112="x",4)+IF($M$108="x",1)-IF($M$109="x",1)-IF($M$99="x",1)+IF($M$90="x",1),
IF(AND($C$3&gt;15),SUM($C$3,$I$2)-$C$120+IF($C$75="x",2)+$I$16-$B$10+$M$94+IF($C$77="x",2)-IF($C$78="x",4)-IF($I$78="x",1)-IF($C$79="x",4)+IF($C$80="x",1)-IF($I$77="x",2)-IF($I$90="x",2)+IF($I$83="x",2)-IF($C$83="x",4)-$C$112+IF(H377="x",1)+I377+$M$77+IF(H379="x",1)+IF(J379="x",1)+IF($M$76="x",2)+J377+IF($M$85="x",1)+IF($M$113="x",1)+IF($M$120="x",2)+IF($M$119="x",2)+IF($M$105="x",1)+IF($M$110="x",1)+IF($M$111="x",2)+IF($M$112="x",4)+IF($M$108="x",1)-IF($M$109="x",1)-IF($M$99="x",1)+IF($M$90="x",1)
&amp;"/"&amp;SUM($C$3,$I$2)-$C$120+IF($C$75="x",2)+$I$16-$B$10+$M$94+IF($C$77="x",2)-IF($C$78="x",4)-IF($I$78="x",1)-IF($C$79="x",4)+IF($C$80="x",1)-IF($I$77="x",2)-IF($I$90="x",2)+IF($I$83="x",2)-IF($C$83="x",4)-$C$112-5+IF(H713="x",1)+IF(H377="x",1)+I377+$M$77+IF(H379="x",1)+IF(J379="x",1)+IF($M$76="x",2)+J377+IF($M$85="x",1)+IF($M$113="x",1)+IF($M$120="x",2)+IF($M$119="x",2)+IF($M$105="x",1)+IF($M$110="x",1)+IF($M$111="x",2)+IF($M$112="x",4)+IF($M$108="x",1)-IF($M$109="x",1)-IF($M$99="x",1)+IF($M$90="x",1)
&amp;"/"&amp;SUM($C$3,$I$2)-$C$120+IF($C$75="x",2)+$I$16-$B$10+$M$94+IF($C$77="x",2)-IF($C$78="x",4)-IF($I$78="x",1)-IF($C$79="x",4)+IF($C$80="x",1)-IF($I$77="x",2)-IF($I$90="x",2)+IF($I$83="x",2)-IF($C$83="x",4)-$C$112-10+IF(H713="x",1)+IF(H377="x",1)+I377+$M$77+IF(H379="x",1)+IF(J379="x",1)+IF($M$76="x",2)+J377+IF($M$85="x",1)+IF($M$113="x",1)+IF($M$120="x",2)+IF($M$119="x",2)+IF($M$105="x",1)+IF($M$110="x",1)+IF($M$111="x",2)+IF($M$112="x",4)+IF($M$108="x",1)-IF($M$109="x",1)-IF($M$99="x",1)+IF($M$90="x",1)
&amp;"/"&amp;SUM($C$3,$I$2)-$C$120+IF($C$75="x",2)+$I$16-$B$10+$M$94+IF($C$77="x",2)-IF($C$78="x",4)-IF($I$78="x",1)-IF($C$79="x",4)+IF($C$80="x",1)-IF($I$77="x",2)-IF($I$90="x",2)+IF($I$83="x",2)-IF($C$83="x",4)-$C$112-15+IF(H713="x",1)+IF(H377="x",1)+I377+$M$77+IF(H379="x",1)+IF(J379="x",1)+IF($M$76="x",2)+J377+IF($M$85="x",1)+IF($M$113="x",1)+IF($M$120="x",2)+IF($M$119="x",2)+IF($M$105="x",1)+IF($M$110="x",1)+IF($M$111="x",2)+IF($M$112="x",4)+IF($M$108="x",1)-IF($M$109="x",1)-IF($M$99="x",1)+IF($M$90="x",1))))))</f>
        <v>0</v>
      </c>
      <c r="C378" s="114" t="str">
        <f>_xlfn.IFS($C$7="Minimaalinen","1n2",$C$7="Taskukokoinen","1n3",$C$7="Hyvin pieni","1n4",$C$7="Pieni","1n6",$C$7="Keskikokoinen","1n8",$C$7="Iso","2n6",$C$7="Valtava","3n6",$C$7="Suunnaton","4n6",$C$7="Giganttinen","6n6")</f>
        <v>1n8</v>
      </c>
      <c r="D378" s="119">
        <f>IF($I$2&lt;0,$I$2,INT($I$2*1.5))+($C$120*2)+I377+$M$77+IF(I379="x",2)+IF(K379="x",2)+IF($M$119="x",2)+IF($M$108="x",1)+$M$94-IF($M$109="x",1)+K377</f>
        <v>0</v>
      </c>
      <c r="E378" s="114" t="str">
        <f>_xlfn.IFS($C$7="Minimaalinen","3n2",$C$7="Taskukokoinen","3n3",$C$7="Hyvin pieni","3n4",$C$7="Pieni","3n6",$C$7="Keskikokoinen","3n8",$C$7="Iso","6n6",$C$7="Valtava","9n6",$C$7="Suunnaton","12n6",$C$7="Giganttinen","18n6")</f>
        <v>3n8</v>
      </c>
      <c r="F378" s="120">
        <f>SUM(D378*3)</f>
        <v>0</v>
      </c>
      <c r="G378" s="120" t="str">
        <f>(IF($I$89="x","50 %","")&amp;(IF($C$81="x","20 %",""))&amp;(IF($C$82="x","50 %","")))</f>
        <v/>
      </c>
      <c r="H378" s="14" t="s">
        <v>220</v>
      </c>
      <c r="I378" s="14" t="s">
        <v>221</v>
      </c>
      <c r="J378" s="14" t="s">
        <v>222</v>
      </c>
      <c r="K378" s="14" t="s">
        <v>223</v>
      </c>
      <c r="AB378" s="52"/>
      <c r="AC378" s="53"/>
      <c r="AD378" s="54"/>
      <c r="AE378" s="53"/>
      <c r="AF378" s="54"/>
      <c r="AG378" s="54"/>
      <c r="AH378" s="53"/>
      <c r="AI378" s="40"/>
      <c r="AJ378" s="40"/>
      <c r="AK378" s="40"/>
      <c r="AL378" s="40"/>
    </row>
    <row r="379" spans="1:38" x14ac:dyDescent="0.2">
      <c r="A379" s="25" t="s">
        <v>438</v>
      </c>
      <c r="B379" s="121">
        <f>IF($I$85="x","PAINISSA",IF($C$3&lt;=5,SUM($C$3,$I$2)-$C$120+IF($C$75="x",2)+$I$16-$B$10+$M$94+IF($C$77="x",2)-IF($C$78="x",4)-IF($I$78="x",1)-IF($C$79="x",4)+IF($C$80="x",1)-IF($I$77="x",2)-IF($I$90="x",2)+IF($I$83="x",2)-IF($C$75="x",4)-$C$112+IF(H377="x",1)+I377+$M$77+IF(H379="x",1)+IF(J379="x",1)+IF($M$76="x",2)+J377+IF($M$85="x",1)+IF($M$113="x",1)+IF($M$120="x",2)+IF($M$119="x",2)+IF($M$105="x",1)+IF($M$110="x",1)+IF($M$111="x",2)+IF($M$112="x",4)+IF($M$108="x",1)-IF($M$109="x",1)-IF($M$99="x",1)+IF($M$90="x",1)-IF($C$97="x",2,4),
IF(AND($C$3&gt;5,$C$3&lt;11),SUM($C$3,$I$2)-$C$120+IF($C$75="x",2)+$I$16-$B$10+$M$94+IF($C$77="x",2)-IF($C$78="x",4)-IF($I$78="x",1)-IF($C$79="x",4)+IF($C$80="x",1)-IF($I$77="x",2)-IF($I$90="x",2)+IF($I$83="x",2)-IF($C$83="x",4)-$C$112+IF(H377="x",1)+I377+$M$77+IF(H379="x",1)+IF(J379="x",1)+IF($M$76="x",2)+J377+IF($M$85="x",1)+IF($M$113="x",1)+IF($M$120="x",2)+IF($M$119="x",2)+IF($M$105="x",1)+IF($M$110="x",1)+IF($M$111="x",2)+IF($M$112="x",4)+IF($M$108="x",1)-IF($M$109="x",1)-IF($M$99="x",1)+IF($M$90="x",1)-IF($C$97="x",2,4)
&amp;"/"&amp;SUM($C$3,$I$2)-$C$120+IF($C$75="x",2)+$I$16-$B$10+$M$94+IF($C$77="x",2)-IF($C$78="x",4)-IF($I$78="x",1)-IF($C$79="x",4)+IF($C$80="x",1)-IF($I$77="x",2)-IF($I$90="x",2)+IF($I$83="x",2)-IF($C$83="x",4)-$C$112-5+IF(H377="x",1)+I377+$M$77+IF(H379="x",1)+IF(J379="x",1)+IF($M$76="x",2)+J377+IF($M$85="x",1)+IF($M$113="x",1)+IF($M$120="x",2)+IF($M$119="x",2)+IF($M$105="x",1)+IF($M$110="x",1)+IF($M$111="x",2)+IF($M$112="x",4)+IF($M$108="x",1)-IF($M$109="x",1)-IF($M$99="x",1)+IF($M$90="x",1)-IF($C$97="x",2,4),
IF(AND($C$3&gt;10,$C$3&lt;16),SUM($C$3,$I$2)-$C$120+IF($C$75="x",2)+$I$16-$B$10+$M$94+IF($C$77="x",2)-IF($C$78="x",4)-IF($I$78="x",1)-IF($C$79="x",4)+IF($C$80="x",1)-IF($I$77="x",2)-IF($I$90="x",2)+IF($I$83="x",2)-IF($C$83="x",4)-$C$112+IF(H377="x",1)+I377+$M$77+IF(H379="x",1)+IF(J379="x",1)+IF($M$76="x",2)+J377+IF($M$85="x",1)+IF($M$113="x",1)+IF($M$120="x",2)+IF($M$119="x",2)+IF($M$105="x",1)+IF($M$110="x",1)+IF($M$111="x",2)+IF($M$112="x",4)+IF($M$108="x",1)-IF($M$109="x",1)+IF($M$99="x",20)-IF($M$99="x",1)+IF($M$90="x",1)-IF($C$97="x",2,4)
&amp;"/"&amp;SUM($C$3,$I$2)-$C$120+IF($C$75="x",2)+$I$16-$B$10+$M$94+IF($C$77="x",2)-IF($C$78="x",4)-IF($I$78="x",1)-IF($C$79="x",4)+IF($C$80="x",1)-IF($I$77="x",2)-IF($I$90="x",2)+IF($I$83="x",2)-IF($C$83="x",4)-$C$112-5+IF(H713="x",1)+IF(H377="x",1)+I377+$M$77+IF(H379="x",1)+IF(J379="x",1)+IF($M$76="x",2)+J377+IF($M$85="x",1)+IF($M$113="x",1)+IF($M$120="x",2)+IF($M$119="x",2)+IF($M$105="x",1)+IF($M$110="x",1)+IF($M$111="x",2)+IF($M$112="x",4)+IF($M$108="x",1)-IF($M$109="x",1)-IF($M$99="x",1)+IF($M$90="x",1)-IF($C$97="x",2,4)
&amp;"/"&amp;SUM($C$3,$I$2)-$C$120+IF($C$75="x",2)+$I$16-$B$10+$M$94+IF($C$77="x",2)-IF($C$78="x",4)-IF($I$78="x",1)-IF($C$79="x",4)+IF($C$80="x",1)-IF($I$77="x",2)-IF($I$90="x",2)+IF($I$83="x",2)-IF($C$83="x",4)-$C$112-10+IF(H713="x",1)+IF(H377="x",1)+I377+$M$77+IF(H379="x",1)+IF(J379="x",1)+IF($M$76="x",2)+J377+IF($M$85="x",1)+IF($M$113="x",1)+IF($M$120="x",2)+IF($M$119="x",2)+IF($M$105="x",1)+IF($M$110="x",1)+IF($M$111="x",2)+IF($M$112="x",4)+IF($M$108="x",1)-IF($M$109="x",1)-IF($M$99="x",1)+IF($M$90="x",1)-IF($C$97="x",2,4),
IF(AND($C$3&gt;15),SUM($C$3,$I$2)-$C$120+IF($C$75="x",2)+$I$16-$B$10+$M$94+IF($C$77="x",2)-IF($C$78="x",4)-IF($I$78="x",1)-IF($C$79="x",4)+IF($C$80="x",1)-IF($I$77="x",2)-IF($I$90="x",2)+IF($I$83="x",2)-IF($C$83="x",4)-$C$112+IF(H377="x",1)+I377+$M$77+IF(H379="x",1)+IF(J379="x",1)+IF($M$76="x",2)+J377+IF($M$85="x",1)+IF($M$113="x",1)+IF($M$120="x",2)+IF($M$119="x",2)+IF($M$105="x",1)+IF($M$110="x",1)+IF($M$111="x",2)+IF($M$112="x",4)+IF($M$108="x",1)-IF($M$109="x",1)-IF($M$99="x",1)+IF($M$90="x",1)-IF($C$97="x",2,4)
&amp;"/"&amp;SUM($C$3,$I$2)-$C$120+IF($C$75="x",2)+$I$16-$B$10+$M$94+IF($C$77="x",2)-IF($C$78="x",4)-IF($I$78="x",1)-IF($C$79="x",4)+IF($C$80="x",1)-IF($I$77="x",2)-IF($I$90="x",2)+IF($I$83="x",2)-IF($C$83="x",4)-$C$112-5+IF(H713="x",1)+IF(H377="x",1)+I377+$M$77+IF(H379="x",1)+IF(J379="x",1)+IF($M$76="x",2)+J377+IF($M$85="x",1)+IF($M$113="x",1)+IF($M$120="x",2)+IF($M$119="x",2)+IF($M$105="x",1)+IF($M$110="x",1)+IF($M$111="x",2)+IF($M$112="x",4)+IF($M$108="x",1)-IF($M$109="x",1)-IF($M$99="x",1)+IF($M$90="x",1)-IF($C$97="x",2,4)
&amp;"/"&amp;SUM($C$3,$I$2)-$C$120+IF($C$75="x",2)+$I$16-$B$10+$M$94+IF($C$77="x",2)-IF($C$78="x",4)-IF($I$78="x",1)-IF($C$79="x",4)+IF($C$80="x",1)-IF($I$77="x",2)-IF($I$90="x",2)+IF($I$83="x",2)-IF($C$83="x",4)-$C$112-10+IF(H713="x",1)+IF(H377="x",1)+I377+$M$77+IF(H379="x",1)+IF(J379="x",1)+IF($M$76="x",2)+J377+IF($M$85="x",1)+IF($M$113="x",1)+IF($M$120="x",2)+IF($M$119="x",2)+IF($M$105="x",1)+IF($M$110="x",1)+IF($M$111="x",2)+IF($M$112="x",4)+IF($M$108="x",1)-IF($M$109="x",1)-IF($M$99="x",1)+IF($M$90="x",1)-IF($C$97="x",2,4)
&amp;"/"&amp;SUM($C$3,$I$2)-$C$120+IF($C$75="x",2)+$I$16-$B$10+$M$94+IF($C$77="x",2)-IF($C$78="x",4)-IF($I$78="x",1)-IF($C$79="x",4)+IF($C$80="x",1)-IF($I$77="x",2)-IF($I$90="x",2)+IF($I$83="x",2)-IF($C$83="x",4)-$C$112-15+IF(H713="x",1)+IF(H377="x",1)+I377+$M$77+IF(H379="x",1)+IF(J379="x",1)+IF($M$76="x",2)+J377+IF($M$85="x",1)+IF($M$113="x",1)+IF($M$120="x",2)+IF($M$119="x",2)+IF($M$105="x",1)+IF($M$110="x",1)+IF($M$111="x",2)+IF($M$112="x",4)+IF($M$108="x",1)-IF($M$109="x",1)-IF($M$99="x",1)+IF($M$90="x",1)-IF($C$97="x",2,4))))))</f>
        <v>-4</v>
      </c>
      <c r="C379" s="49" t="str">
        <f>_xlfn.IFS($C$7="Minimaalinen","1n2",$C$7="Taskukokoinen","1n3",$C$7="Hyvin pieni","1n4",$C$7="Pieni","1n6",$C$7="Keskikokoinen","1n8",$C$7="Iso","2n6",$C$7="Valtava","3n6",$C$7="Suunnaton","4n6",$C$7="Giganttinen","6n6")</f>
        <v>1n8</v>
      </c>
      <c r="D379" s="121">
        <f>SUM($I$2+$C$120)+I377+$M$77+IF(I379="x",2)+IF(K379="x",2)+IF($M$119="x",2)+IF($M$108="x",1)+$M$94-IF($M$109="x",1)+K377</f>
        <v>0</v>
      </c>
      <c r="E379" s="49" t="str">
        <f>_xlfn.IFS($C$7="Minimaalinen","3n2",$C$7="Taskukokoinen","3n3",$C$7="Hyvin pieni","3n4",$C$7="Pieni","3n6",$C$7="Keskikokoinen","3n8",$C$7="Iso","6n6",$C$7="Valtava","9n6",$C$7="Suunnaton","12n6",$C$7="Giganttinen","18n6")</f>
        <v>3n8</v>
      </c>
      <c r="F379" s="12">
        <f>SUM(D379*3)</f>
        <v>0</v>
      </c>
      <c r="G379" s="82" t="str">
        <f>(IF($I$89="x","50 %","")&amp;(IF($C$81="x","20 %",""))&amp;(IF($C$82="x","50 %","")))</f>
        <v/>
      </c>
      <c r="H379" s="28"/>
      <c r="I379" s="28"/>
      <c r="J379" s="28"/>
      <c r="K379" s="28"/>
    </row>
    <row r="380" spans="1:38" x14ac:dyDescent="0.2">
      <c r="A380" s="25" t="s">
        <v>437</v>
      </c>
      <c r="B380" s="82">
        <f>IF($I$85="x","PAINISSA",IF($C$3&lt;=5,SUM($C$3,$I$2)-$C$120+IF($C$75="x",2)+$I$16-$B$10+$M$94+IF($C$77="x",2)-IF($C$78="x",4)-IF($I$78="x",1)-IF($C$79="x",4)+IF($C$80="x",1)-IF($I$77="x",2)-IF($I$90="x",2)+IF($I$83="x",2)-IF($C$75="x",4)-$C$112+IF(H377="x",1)+I377+$M$77+IF(H379="x",1)+IF(J379="x",1)+IF($M$76="x",2)+J377+IF($M$85="x",1)+IF($M$113="x",1)+IF($M$120="x",2)+IF($M$119="x",2)+IF($M$105="x",1)+IF($M$110="x",1)+IF($M$111="x",2)+IF($M$112="x",4)+IF($M$108="x",1)-IF($M$109="x",1)-IF($M$99="x",1)+IF($M$90="x",1)-IF($C$97="x",4,6),
IF(AND($C$3&gt;5,$C$3&lt;11),SUM($C$3,$I$2)-$C$120+IF($C$75="x",2)+$I$16-$B$10+$M$94+IF($C$77="x",2)-IF($C$78="x",4)-IF($I$78="x",1)-IF($C$79="x",4)+IF($C$80="x",1)-IF($I$77="x",2)-IF($I$90="x",2)+IF($I$83="x",2)-IF($C$83="x",4)-$C$112+IF(H377="x",1)+I377+$M$77+IF(H379="x",1)+IF(J379="x",1)+IF($M$76="x",2)+J377+IF($M$85="x",1)+IF($M$113="x",1)+IF($M$120="x",2)+IF($M$119="x",2)+IF($M$105="x",1)+IF($M$110="x",1)+IF($M$111="x",2)+IF($M$112="x",4)+IF($M$108="x",1)-IF($M$109="x",1)-IF($M$99="x",1)+IF($M$90="x",1)-IF($C$97="x",4,6)
&amp;"/"&amp;SUM($C$3,$I$2)-$C$120+IF($C$75="x",2)+$I$16-$B$10+$M$94+IF($C$77="x",2)-IF($C$78="x",4)-IF($I$78="x",1)-IF($C$79="x",4)+IF($C$80="x",1)-IF($I$77="x",2)-IF($I$90="x",2)+IF($I$83="x",2)-IF($C$83="x",4)-$C$112-5+IF(H377="x",1)+I377+$M$77+IF(H379="x",1)+IF(J379="x",1)+IF($M$76="x",2)+J377+IF($M$85="x",1)+IF($M$113="x",1)+IF($M$120="x",2)+IF($M$119="x",2)+IF($M$105="x",1)+IF($M$110="x",1)+IF($M$111="x",2)+IF($M$112="x",4)+IF($M$108="x",1)-IF($M$109="x",1)-IF($M$99="x",1)+IF($M$90="x",1)-IF($C$97="x",4,6),
IF(AND($C$3&gt;10,$C$3&lt;16),SUM($C$3,$I$2)-$C$120+IF($C$75="x",2)+$I$16-$B$10+$M$94+IF($C$77="x",2)-IF($C$78="x",4)-IF($I$78="x",1)-IF($C$79="x",4)+IF($C$80="x",1)-IF($I$77="x",2)-IF($I$90="x",2)+IF($I$83="x",2)-IF($C$83="x",4)-$C$112+IF(H377="x",1)+I377+$M$77+IF(H379="x",1)+IF(J379="x",1)+IF($M$76="x",2)+J377+IF($M$85="x",1)+IF($M$113="x",1)+IF($M$120="x",2)+IF($M$119="x",2)+IF($M$105="x",1)+IF($M$110="x",1)+IF($M$111="x",2)+IF($M$112="x",4)+IF($M$108="x",1)-IF($M$109="x",1)+IF($M$99="x",20)-IF($M$99="x",1)+IF($M$90="x",1)-IF($C$97="x",4,6)
&amp;"/"&amp;SUM($C$3,$I$2)-$C$120+IF($C$75="x",2)+$I$16-$B$10+$M$94+IF($C$77="x",2)-IF($C$78="x",4)-IF($I$78="x",1)-IF($C$79="x",4)+IF($C$80="x",1)-IF($I$77="x",2)-IF($I$90="x",2)+IF($I$83="x",2)-IF($C$83="x",4)-$C$112-5+IF(H713="x",1)+IF(H377="x",1)+I377+$M$77+IF(H379="x",1)+IF(J379="x",1)+IF($M$76="x",2)+J377+IF($M$85="x",1)+IF($M$113="x",1)+IF($M$120="x",2)+IF($M$119="x",2)+IF($M$105="x",1)+IF($M$110="x",1)+IF($M$111="x",2)+IF($M$112="x",4)+IF($M$108="x",1)-IF($M$109="x",1)-IF($M$99="x",1)+IF($M$90="x",1)-IF($C$97="x",4,6)
&amp;"/"&amp;SUM($C$3,$I$2)-$C$120+IF($C$75="x",2)+$I$16-$B$10+$M$94+IF($C$77="x",2)-IF($C$78="x",4)-IF($I$78="x",1)-IF($C$79="x",4)+IF($C$80="x",1)-IF($I$77="x",2)-IF($I$90="x",2)+IF($I$83="x",2)-IF($C$83="x",4)-$C$112-10+IF(H713="x",1)+IF(H377="x",1)+I377+$M$77+IF(H379="x",1)+IF(J379="x",1)+IF($M$76="x",2)+J377+IF($M$85="x",1)+IF($M$113="x",1)+IF($M$120="x",2)+IF($M$119="x",2)+IF($M$105="x",1)+IF($M$110="x",1)+IF($M$111="x",2)+IF($M$112="x",4)+IF($M$108="x",1)-IF($M$109="x",1)-IF($M$99="x",1)+IF($M$90="x",1)-IF($C$97="x",4,6),
IF(AND($C$3&gt;15),SUM($C$3,$I$2)-$C$120+IF($C$75="x",2)+$I$16-$B$10+$M$94+IF($C$77="x",2)-IF($C$78="x",4)-IF($I$78="x",1)-IF($C$79="x",4)+IF($C$80="x",1)-IF($I$77="x",2)-IF($I$90="x",2)+IF($I$83="x",2)-IF($C$83="x",4)-$C$112+IF(H377="x",1)+I377+$M$77+IF(H379="x",1)+IF(J379="x",1)+IF($M$76="x",2)+J377+IF($M$85="x",1)+IF($M$113="x",1)+IF($M$120="x",2)+IF($M$119="x",2)+IF($M$105="x",1)+IF($M$110="x",1)+IF($M$111="x",2)+IF($M$112="x",4)+IF($M$108="x",1)-IF($M$109="x",1)-IF($M$99="x",1)+IF($M$90="x",1)-IF($C$97="x",4,6)
&amp;"/"&amp;SUM($C$3,$I$2)-$C$120+IF($C$75="x",2)+$I$16-$B$10+$M$94+IF($C$77="x",2)-IF($C$78="x",4)-IF($I$78="x",1)-IF($C$79="x",4)+IF($C$80="x",1)-IF($I$77="x",2)-IF($I$90="x",2)+IF($I$83="x",2)-IF($C$83="x",4)-$C$112-5+IF(H713="x",1)+IF(H377="x",1)+I377+$M$77+IF(H379="x",1)+IF(J379="x",1)+IF($M$76="x",2)+J377+IF($M$85="x",1)+IF($M$113="x",1)+IF($M$120="x",2)+IF($M$119="x",2)+IF($M$105="x",1)+IF($M$110="x",1)+IF($M$111="x",2)+IF($M$112="x",4)+IF($M$108="x",1)-IF($M$109="x",1)-IF($M$99="x",1)+IF($M$90="x",1)-IF($C$97="x",4,6)
&amp;"/"&amp;SUM($C$3,$I$2)-$C$120+IF($C$75="x",2)+$I$16-$B$10+$M$94+IF($C$77="x",2)-IF($C$78="x",4)-IF($I$78="x",1)-IF($C$79="x",4)+IF($C$80="x",1)-IF($I$77="x",2)-IF($I$90="x",2)+IF($I$83="x",2)-IF($C$83="x",4)-$C$112-10+IF(H713="x",1)+IF(H377="x",1)+I377+$M$77+IF(H379="x",1)+IF(J379="x",1)+IF($M$76="x",2)+J377+IF($M$85="x",1)+IF($M$113="x",1)+IF($M$120="x",2)+IF($M$119="x",2)+IF($M$105="x",1)+IF($M$110="x",1)+IF($M$111="x",2)+IF($M$112="x",4)+IF($M$108="x",1)-IF($M$109="x",1)-IF($M$99="x",1)+IF($M$90="x",1)-IF($C$97="x",4,6)
&amp;"/"&amp;SUM($C$3,$I$2)-$C$120+IF($C$75="x",2)+$I$16-$B$10+$M$94+IF($C$77="x",2)-IF($C$78="x",4)-IF($I$78="x",1)-IF($C$79="x",4)+IF($C$80="x",1)-IF($I$77="x",2)-IF($I$90="x",2)+IF($I$83="x",2)-IF($C$83="x",4)-$C$112-15+IF(H713="x",1)+IF(H377="x",1)+I377+$M$77+IF(H379="x",1)+IF(J379="x",1)+IF($M$76="x",2)+J377+IF($M$85="x",1)+IF($M$113="x",1)+IF($M$120="x",2)+IF($M$119="x",2)+IF($M$105="x",1)+IF($M$110="x",1)+IF($M$111="x",2)+IF($M$112="x",4)+IF($M$108="x",1)-IF($M$109="x",1)-IF($M$99="x",1)+IF($M$90="x",1)-IF($C$97="x",4,6))))))</f>
        <v>-6</v>
      </c>
      <c r="C380" s="49" t="str">
        <f>_xlfn.IFS($C$7="Minimaalinen","1n2",$C$7="Taskukokoinen","1n3",$C$7="Hyvin pieni","1n4",$C$7="Pieni","1n6",$C$7="Keskikokoinen","1n8",$C$7="Iso","2n6",$C$7="Valtava","3n6",$C$7="Suunnaton","4n6",$C$7="Giganttinen","6n6")</f>
        <v>1n8</v>
      </c>
      <c r="D380" s="121">
        <f>SUM($I$2+$C$120)+I377+$M$77+IF(I379="x",2)+IF(K379="x",2)+IF($M$119="x",2)+IF($M$108="x",1)+$M$94-IF($M$109="x",1)+K377</f>
        <v>0</v>
      </c>
      <c r="E380" s="49" t="str">
        <f>_xlfn.IFS($C$7="Minimaalinen","3n2",$C$7="Taskukokoinen","3n3",$C$7="Hyvin pieni","3n4",$C$7="Pieni","3n6",$C$7="Keskikokoinen","3n8",$C$7="Iso","6n6",$C$7="Valtava","9n6",$C$7="Suunnaton","12n6",$C$7="Giganttinen","18n6")</f>
        <v>3n8</v>
      </c>
      <c r="F380" s="12">
        <f>SUM(D380*3)</f>
        <v>0</v>
      </c>
      <c r="G380" s="82" t="str">
        <f>(IF($I$89="x","50 %","")&amp;(IF($C$81="x","20 %",""))&amp;(IF($C$82="x","50 %","")))</f>
        <v/>
      </c>
      <c r="H380" s="48"/>
      <c r="I380" s="15"/>
    </row>
    <row r="381" spans="1:38" x14ac:dyDescent="0.2">
      <c r="A381" s="122" t="s">
        <v>436</v>
      </c>
      <c r="B381" s="123">
        <f>IF($I$85="x","PAINISSA",IF(AND($C$90="",$C$118=""),SUM($C$3,$I$2)-$C$120+IF($C$75="x",2)+$I$16-$B$10+$M$94+IF($C$77="x",2)-IF($C$78="x",4)-IF($I$78="x",1)-IF($C$79="x",4)+IF($C$80="x",1)-IF($I$77="x",2)-IF($I$90="x",2)+IF($I$83="x",2)-IF($C$75="x",4)-$C$112+IF(H377="x",1)+I377+$M$77+IF(H379="x",1)+IF(J379="x",1)+IF($M$76="x",2)+J377+IF($M$85="x",1)+IF($M$113="x",1)+IF($M$120="x",2)+IF($M$119="x",2)+IF($M$105="x",1)+IF($M$110="x",1)+IF($M$111="x",2)+IF($M$112="x",4)+IF($M$108="x",1)-IF($M$109="x",1)-IF($M$99="x",1)+IF($M$90="x",1)-IF($C$97="x",4,10),
IF(AND($C$90="x",$C$118=""),SUM($C$3,$I$2)-$C$120+IF($C$75="x",2)+$I$16-$B$10+$M$94+IF($C$77="x",2)-IF($C$78="x",4)-IF($I$78="x",1)-IF($C$79="x",4)+IF($C$80="x",1)-IF($I$77="x",2)-IF($I$90="x",2)+IF($I$83="x",2)-IF($C$83="x",4)-$C$112+IF(H377="x",1)+I377+$M$77+IF(H379="x",1)+IF(J379="x",1)+IF($M$76="x",2)+J377+IF($M$85="x",1)+IF($M$113="x",1)+IF($M$120="x",2)+IF($M$119="x",2)+IF($M$105="x",1)+IF($M$110="x",1)+IF($M$111="x",2)+IF($M$112="x",4)+IF($M$108="x",1)-IF($M$109="x",1)-IF($M$99="x",1)+IF($M$90="x",1)-IF($C$97="x",4,10)
&amp;"/"&amp;SUM($C$3,$I$2)-$C$120+IF($C$75="x",2)+$I$16-$B$10+$M$94+IF($C$77="x",2)-IF($C$78="x",4)-IF($I$78="x",1)-IF($C$79="x",4)+IF($C$80="x",1)-IF($I$77="x",2)-IF($I$90="x",2)+IF($I$83="x",2)-IF($C$83="x",4)-$C$112+IF(H377="x",1)+I377+$M$77+IF(H379="x",1)+IF(J379="x",1)+IF($M$76="x",2)+J377+IF($M$85="x",1)+IF($M$113="x",1)+IF($M$120="x",2)+IF($M$119="x",2)+IF($M$105="x",1)+IF($M$110="x",1)+IF($M$111="x",2)+IF($M$112="x",4)+IF($M$108="x",1)-IF($M$109="x",1)-IF($M$99="x",1)+IF($M$90="x",1)-IF($C$97="x",4,10)-5,
IF(AND($C$90="x",$C$118="x"),SUM($C$3,$I$2)-$C$120+IF($C$75="x",2)+$I$16-$B$10+$M$94+IF($C$77="x",2)-IF($C$78="x",4)-IF($I$78="x",1)-IF($C$79="x",4)+IF($C$80="x",1)-IF($I$77="x",2)-IF($I$90="x",2)+IF($I$83="x",2)-IF($C$83="x",4)-$C$112+IF(H377="x",1)+I377+$M$77+IF(H379="x",1)+IF(J379="x",1)+IF($M$76="x",2)+J377+IF($M$85="x",1)+IF($M$113="x",1)+IF($M$120="x",2)+IF($M$119="x",2)+IF($M$105="x",1)+IF($M$110="x",1)+IF($M$111="x",2)+IF($M$112="x",4)+IF($M$108="x",1)-IF($M$109="x",1)+IF($M$99="x",20)-IF($M$99="x",1)+IF($M$90="x",1)-IF($C$97="x",4,10)
&amp;"/"&amp;SUM($C$3,$I$2)-$C$120+IF($C$75="x",2)+$I$16-$B$10+$M$94+IF($C$77="x",2)-IF($C$78="x",4)-IF($I$78="x",1)-IF($C$79="x",4)+IF($C$80="x",1)-IF($I$77="x",2)-IF($I$90="x",2)+IF($I$83="x",2)-IF($C$83="x",4)-$C$112-5+IF(H377="x",1)+I377+$M$77+IF(H379="x",1)+IF(J379="x",1)+IF($M$76="x",2)+J377+IF($M$85="x",1)+IF($M$113="x",1)+IF($M$120="x",2)+IF($M$119="x",2)+IF($M$105="x",1)+IF($M$110="x",1)+IF($M$111="x",2)+IF($M$112="x",4)+IF($M$108="x",1)-IF($M$109="x",1)-IF($M$99="x",1)+IF($M$90="x",1)-IF($C$97="x",4,10)
&amp;"/"&amp;SUM($C$3,$I$2)-$C$120+IF($C$75="x",2)+$I$16-$B$10+$M$94+IF($C$77="x",2)-IF($C$78="x",4)-IF($I$78="x",1)-IF($C$79="x",4)+IF($C$80="x",1)-IF($I$77="x",2)-IF($I$90="x",2)+IF($I$83="x",2)-IF($C$83="x",4)-$C$112-10+IF(H377="x",1)+I377+$M$77+IF(H379="x",1)+IF(J379="x",1)+IF($M$76="x",2)+J377+IF($M$85="x",1)+IF($M$113="x",1)+IF($M$120="x",2)+IF($M$119="x",2)+IF($M$105="x",1)+IF($M$110="x",1)+IF($M$111="x",2)+IF($M$112="x",4)+IF($M$108="x",1)-IF($M$109="x",1)-IF($M$99="x",1)+IF($M$90="x",1)-IF($C$97="x",4,10)))))</f>
        <v>-10</v>
      </c>
      <c r="C381" s="54" t="str">
        <f>_xlfn.IFS($C$7="Minimaalinen","1n2",$C$7="Taskukokoinen","1n3",$C$7="Hyvin pieni","1n4",$C$7="Pieni","1n6",$C$7="Keskikokoinen","1n8",$C$7="Iso","2n6",$C$7="Valtava","3n6",$C$7="Suunnaton","4n6",$C$7="Giganttinen","6n6")</f>
        <v>1n8</v>
      </c>
      <c r="D381" s="123">
        <f>INT($I$2/2)+($C$120)+I377+$M$77+IF(I379="x",2)+IF(K379="x",2)+IF($M$119="x",2)+IF($M$108="x",1)+$M$94+K377-IF($M$109="x",1)</f>
        <v>0</v>
      </c>
      <c r="E381" s="54" t="str">
        <f>_xlfn.IFS($C$7="Minimaalinen","3n2",$C$7="Taskukokoinen","3n3",$C$7="Hyvin pieni","3n4",$C$7="Pieni","3n6",$C$7="Keskikokoinen","3n8",$C$7="Iso","6n6",$C$7="Valtava","9n6",$C$7="Suunnaton","12n6",$C$7="Giganttinen","18n6")</f>
        <v>3n8</v>
      </c>
      <c r="F381" s="124">
        <f>SUM(D381*3)</f>
        <v>0</v>
      </c>
      <c r="G381" s="124" t="str">
        <f>(IF($I$89="x","50 %","")&amp;(IF($C$81="x","20 %",""))&amp;(IF($C$82="x","50 %","")))</f>
        <v/>
      </c>
      <c r="H381" s="40"/>
      <c r="K381" s="82"/>
      <c r="AB381" s="46"/>
      <c r="AC381" s="48"/>
      <c r="AD381" s="48"/>
      <c r="AE381" s="48"/>
      <c r="AF381" s="48"/>
      <c r="AG381" s="48"/>
      <c r="AH381" s="48"/>
      <c r="AI381" s="48"/>
      <c r="AJ381" s="48"/>
      <c r="AK381" s="48"/>
      <c r="AL381" s="48"/>
    </row>
    <row r="382" spans="1:38" x14ac:dyDescent="0.2">
      <c r="B382" s="15"/>
      <c r="C382" s="15"/>
      <c r="D382" s="15"/>
      <c r="F382" s="15"/>
      <c r="G382" s="15"/>
      <c r="H382" s="15"/>
      <c r="I382" s="15"/>
      <c r="AC382" s="41"/>
      <c r="AD382" s="49"/>
      <c r="AE382" s="41"/>
      <c r="AF382" s="49"/>
      <c r="AG382" s="40"/>
      <c r="AH382" s="40"/>
      <c r="AI382" s="40"/>
      <c r="AJ382" s="40"/>
      <c r="AK382" s="40"/>
      <c r="AL382" s="40"/>
    </row>
    <row r="383" spans="1:38" x14ac:dyDescent="0.2">
      <c r="B383" s="15"/>
      <c r="C383" s="15"/>
      <c r="D383" s="15"/>
      <c r="F383" s="15"/>
      <c r="G383" s="15"/>
      <c r="H383" s="15"/>
      <c r="I383" s="15"/>
      <c r="AB383" s="50"/>
      <c r="AC383" s="51"/>
      <c r="AD383" s="49"/>
      <c r="AE383" s="51"/>
      <c r="AF383" s="49"/>
      <c r="AG383" s="49"/>
      <c r="AH383" s="49"/>
      <c r="AI383" s="48"/>
      <c r="AJ383" s="48"/>
      <c r="AK383" s="48"/>
      <c r="AL383" s="48"/>
    </row>
    <row r="384" spans="1:38" x14ac:dyDescent="0.2">
      <c r="A384" s="34" t="s">
        <v>307</v>
      </c>
      <c r="B384" s="130" t="s">
        <v>1</v>
      </c>
      <c r="C384" s="130" t="s">
        <v>2</v>
      </c>
      <c r="D384" s="130" t="s">
        <v>3</v>
      </c>
      <c r="E384" s="130" t="s">
        <v>229</v>
      </c>
      <c r="F384" s="130" t="s">
        <v>3</v>
      </c>
      <c r="G384" s="130" t="s">
        <v>45</v>
      </c>
      <c r="H384" s="14" t="s">
        <v>179</v>
      </c>
      <c r="I384" s="130" t="s">
        <v>242</v>
      </c>
      <c r="J384" s="130" t="s">
        <v>224</v>
      </c>
      <c r="K384" s="130" t="s">
        <v>225</v>
      </c>
      <c r="AB384" s="52"/>
      <c r="AC384" s="53"/>
      <c r="AD384" s="54"/>
      <c r="AE384" s="53"/>
      <c r="AF384" s="54"/>
      <c r="AG384" s="54"/>
      <c r="AH384" s="53"/>
      <c r="AI384" s="40"/>
      <c r="AJ384" s="40"/>
      <c r="AK384" s="40"/>
      <c r="AL384" s="40"/>
    </row>
    <row r="385" spans="1:38" x14ac:dyDescent="0.2">
      <c r="A385" s="131" t="s">
        <v>219</v>
      </c>
      <c r="B385" s="12">
        <f>IF($I$85="x","PAINISSA",IF($C$3&lt;=5,$C$3+IF($C$87="x",$I$3,$I$2)-$C$120+IF($C$75="x",2)+$I$16-$B$10+$M$94+IF($C$77="x",2)-IF($C$78="x",4)-IF($I$78="x",1)-IF($C$79="x",4)+IF($C$80="x",1)-IF($I$77="x",2)-IF($I$90="x",2)+IF($I$83="x",2)-IF($C$75="x",4)-$C$112+IF(H385="x",1)+I385+$M$77+IF(H387="x",1)+IF(J387="x",1)+IF($M$76="x",2)+J385+IF($M$85="x",1)+IF($M$113="x",1)+IF($M$120="x",2)+IF($M$119="x",2)+IF($M$105="x",1)+IF($M$110="x",1)+IF($M$111="x",2)+IF($M$112="x",4)+IF($M$108="x",1)-IF($M$109="x",1)-IF($M$99="x",1)+IF($M$90="x",1),
IF(AND($C$3&gt;5,$C$3&lt;11),$C$3+IF($C$87="x",$I$3,$I$2)-$C$120+IF($C$75="x",2)+$I$16-$B$10+$M$94+IF($C$77="x",2)-IF($C$78="x",4)-IF($I$78="x",1)-IF($C$79="x",4)+IF($C$80="x",1)-IF($I$77="x",2)-IF($I$90="x",2)+IF($I$83="x",2)-IF($C$83="x",4)-$C$112+IF(H385="x",1)+I385+$M$77+IF(H387="x",1)+IF(J387="x",1)+IF($M$76="x",2)+J385+IF($M$85="x",1)+IF($M$113="x",1)+IF($M$120="x",2)+IF($M$119="x",2)+IF($M$105="x",1)+IF($M$110="x",1)+IF($M$111="x",2)+IF($M$112="x",4)+IF($M$108="x",1)-IF($M$109="x",1)-IF($M$99="x",1)+IF($M$90="x",1)
&amp;"/"&amp;$C$3+IF($C$87="x",$I$3,$I$2)-$C$120+IF($C$75="x",2)+$I$16-$B$10+$M$94+IF($C$77="x",2)-IF($C$78="x",4)-IF($I$78="x",1)-IF($C$79="x",4)+IF($C$80="x",1)-IF($I$77="x",2)-IF($I$90="x",2)+IF($I$83="x",2)-IF($C$83="x",4)-$C$112-5+IF(H385="x",1)+I385+$M$77+IF(H387="x",1)+IF(J387="x",1)+IF($M$76="x",2)+J385+IF($M$85="x",1)+IF($M$113="x",1)+IF($M$120="x",2)+IF($M$119="x",2)+IF($M$105="x",1)+IF($M$110="x",1)+IF($M$111="x",2)+IF($M$112="x",4)+IF($M$108="x",1)-IF($M$109="x",1)-IF($M$99="x",1)+IF($M$90="x",1),
IF(AND($C$3&gt;10,$C$3&lt;16),$C$3+IF($C$87="x",$I$3,$I$2)-$C$120+IF($C$75="x",2)+$I$16-$B$10+$M$94+IF($C$77="x",2)-IF($C$78="x",4)-IF($I$78="x",1)-IF($C$79="x",4)+IF($C$80="x",1)-IF($I$77="x",2)-IF($I$90="x",2)+IF($I$83="x",2)-IF($C$83="x",4)-$C$112+IF(H385="x",1)+I385+$M$77+IF(H387="x",1)+IF(J387="x",1)+IF($M$76="x",2)+J385+IF($M$85="x",1)+IF($M$113="x",1)+IF($M$120="x",2)+IF($M$119="x",2)+IF($M$105="x",1)+IF($M$110="x",1)+IF($M$111="x",2)+IF($M$112="x",4)+IF($M$108="x",1)-IF($M$109="x",1)+IF($M$99="x",20)-IF($M$99="x",1)+IF($M$90="x",1)
&amp;"/"&amp;$C$3+IF($C$87="x",$I$3,$I$2)-$C$120+IF($C$75="x",2)+$I$16-$B$10+$M$94+IF($C$77="x",2)-IF($C$78="x",4)-IF($I$78="x",1)-IF($C$79="x",4)+IF($C$80="x",1)-IF($I$77="x",2)-IF($I$90="x",2)+IF($I$83="x",2)-IF($C$83="x",4)-$C$112-5+IF(H385="x",1)+I385+$M$77+IF(H387="x",1)+IF(J387="x",1)+IF($M$76="x",2)+J385+IF($M$85="x",1)+IF($M$113="x",1)+IF($M$120="x",2)+IF($M$119="x",2)+IF($M$105="x",1)+IF($M$110="x",1)+IF($M$111="x",2)+IF($M$112="x",4)+IF($M$108="x",1)-IF($M$109="x",1)-IF($M$99="x",1)+IF($M$90="x",1)
&amp;"/"&amp;$C$3+IF($C$87="x",$I$3,$I$2)-$C$120+IF($C$75="x",2)+$I$16-$B$10+$M$94+IF($C$77="x",2)-IF($C$78="x",4)-IF($I$78="x",1)-IF($C$79="x",4)+IF($C$80="x",1)-IF($I$77="x",2)-IF($I$90="x",2)+IF($I$83="x",2)-IF($C$83="x",4)-$C$112-10+IF(H385="x",1)+I385+$M$77+IF(H387="x",1)+IF(J387="x",1)+IF($M$76="x",2)+J385+IF($M$85="x",1)+IF($M$113="x",1)+IF($M$120="x",2)+IF($M$119="x",2)+IF($M$105="x",1)+IF($M$110="x",1)+IF($M$111="x",2)+IF($M$112="x",4)+IF($M$108="x",1)-IF($M$109="x",1)-IF($M$99="x",1)+IF($M$90="x",1),
IF(AND($C$3&gt;15),$C$3+IF($C$87="x",$I$3,$I$2)-$C$120+IF($C$75="x",2)+$I$16-$B$10+$M$94+IF($C$77="x",2)-IF($C$78="x",4)-IF($I$78="x",1)-IF($C$79="x",4)+IF($C$80="x",1)-IF($I$77="x",2)-IF($I$90="x",2)+IF($I$83="x",2)-IF($C$83="x",4)-$C$112+IF(H385="x",1)+I385+$M$77+IF(H387="x",1)+IF(J387="x",1)+IF($M$76="x",2)+J385+IF($M$85="x",1)+IF($M$113="x",1)+IF($M$120="x",2)+IF($M$119="x",2)+IF($M$105="x",1)+IF($M$110="x",1)+IF($M$111="x",2)+IF($M$112="x",4)+IF($M$108="x",1)-IF($M$109="x",1)-IF($M$99="x",1)+IF($M$90="x",1)
&amp;"/"&amp;$C$3+IF($C$87="x",$I$3,$I$2)-$C$120+IF($C$75="x",2)+$I$16-$B$10+$M$94+IF($C$77="x",2)-IF($C$78="x",4)-IF($I$78="x",1)-IF($C$79="x",4)+IF($C$80="x",1)-IF($I$77="x",2)-IF($I$90="x",2)+IF($I$83="x",2)-IF($C$83="x",4)-$C$112-5+IF(H385="x",1)+I385+$M$77+IF(H387="x",1)+IF(J387="x",1)+IF($M$76="x",2)+J385+IF($M$85="x",1)+IF($M$113="x",1)+IF($M$120="x",2)+IF($M$119="x",2)+IF($M$105="x",1)+IF($M$110="x",1)+IF($M$111="x",2)+IF($M$112="x",4)+IF($M$108="x",1)-IF($M$109="x",1)-IF($M$99="x",1)+IF($M$90="x",1)
&amp;"/"&amp;$C$3+IF($C$87="x",$I$3,$I$2)-$C$120+IF($C$75="x",2)+$I$16-$B$10+$M$94+IF($C$77="x",2)-IF($C$78="x",4)-IF($I$78="x",1)-IF($C$79="x",4)+IF($C$80="x",1)-IF($I$77="x",2)-IF($I$90="x",2)+IF($I$83="x",2)-IF($C$83="x",4)-$C$112-10+IF(H385="x",1)+I385+$M$77+IF(H387="x",1)+IF(J387="x",1)+IF($M$76="x",2)+J385+IF($M$85="x",1)+IF($M$113="x",1)+IF($M$120="x",2)+IF($M$119="x",2)+IF($M$105="x",1)+IF($M$110="x",1)+IF($M$111="x",2)+IF($M$112="x",4)+IF($M$108="x",1)-IF($M$109="x",1)-IF($M$99="x",1)+IF($M$90="x",1)
&amp;"/"&amp;$C$3+IF($C$87="x",$I$3,$I$2)-$C$120+IF($C$75="x",2)+$I$16-$B$10+$M$94+IF($C$77="x",2)-IF($C$78="x",4)-IF($I$78="x",1)-IF($C$79="x",4)+IF($C$80="x",1)-IF($I$77="x",2)-IF($I$90="x",2)+IF($I$83="x",2)-IF($C$83="x",4)-$C$112-15+IF(H385="x",1)+I385+$M$77+IF(H387="x",1)+IF(J387="x",1)+IF($M$76="x",2)+J385+IF($M$85="x",1)+IF($M$113="x",1)+IF($M$120="x",2)+IF($M$119="x",2)+IF($M$105="x",1)+IF($M$110="x",1)+IF($M$111="x",2)+IF($M$112="x",4)+IF($M$108="x",1)-IF($M$109="x",1)-IF($M$99="x",1)+IF($M$90="x",1))))))</f>
        <v>0</v>
      </c>
      <c r="C385" s="49" t="str">
        <f>_xlfn.IFS($C$7="Minimaalinen","1",$C$7="Taskukokoinen","1n2",$C$7="Hyvin pieni","1n3",$C$7="Pieni","1n4",$C$7="Keskikokoinen","1n6",$C$7="Iso","1n8",$C$7="Valtava","2n6",$C$7="Suunnaton","3n6",$C$7="Giganttinen","4n6")</f>
        <v>1n6</v>
      </c>
      <c r="D385" s="132">
        <f>SUM($I$2+$C$120)+I385+$M$77+IF(I387="x",2)+IF(K387="x",2)+IF($M$119="x",2)+IF($M$108="x",1)+$M$94-IF($M$109="x",1)+K385</f>
        <v>0</v>
      </c>
      <c r="E385" s="49" t="str">
        <f>_xlfn.IFS($C$7="Minimaalinen","2",$C$7="Taskukokoinen","2n2",$C$7="Hyvin pieni","2n3",$C$7="Pieni","2n4",$C$7="Keskikokoinen","2n6",$C$7="Iso","2n8",$C$7="Valtava","4n6",$C$7="Suunnaton","6n6",$C$7="Giganttinen","8n6")</f>
        <v>2n6</v>
      </c>
      <c r="F385" s="12">
        <f>SUM(D385*2)</f>
        <v>0</v>
      </c>
      <c r="G385" s="12" t="str">
        <f>(IF($I$89="x","50 %","")&amp;(IF($C$81="x","20 %",""))&amp;(IF($C$82="x","50 %","")))</f>
        <v/>
      </c>
      <c r="H385" s="28"/>
      <c r="I385" s="17">
        <v>0</v>
      </c>
      <c r="J385" s="17">
        <v>0</v>
      </c>
      <c r="K385" s="17">
        <v>0</v>
      </c>
    </row>
    <row r="386" spans="1:38" x14ac:dyDescent="0.2">
      <c r="A386" s="58" t="s">
        <v>8</v>
      </c>
      <c r="B386" s="119">
        <f>IF($I$85="x","PAINISSA",IF($C$3&lt;=5,$C$3+IF($C$87="x",$I$3,$I$2)-$C$120+IF($C$75="x",2)+$I$16-$B$10+$M$94+IF($C$77="x",2)-IF($C$78="x",4)-IF($I$78="x",1)-IF($C$79="x",4)+IF($C$80="x",1)-IF($I$77="x",2)-IF($I$90="x",2)+IF($I$83="x",2)-IF($C$75="x",4)-$C$112+IF(H385="x",1)+I385+$M$77+IF(H387="x",1)+IF(J387="x",1)+IF($M$76="x",2)+J385+IF($M$85="x",1)+IF($M$113="x",1)+IF($M$120="x",2)+IF($M$119="x",2)+IF($M$105="x",1)+IF($M$110="x",1)+IF($M$111="x",2)+IF($M$112="x",4)+IF($M$108="x",1)-IF($M$109="x",1)-IF($M$99="x",1)+IF($M$90="x",1),
IF(AND($C$3&gt;5,$C$3&lt;11),$C$3+IF($C$87="x",$I$3,$I$2)-$C$120+IF($C$75="x",2)+$I$16-$B$10+$M$94+IF($C$77="x",2)-IF($C$78="x",4)-IF($I$78="x",1)-IF($C$79="x",4)+IF($C$80="x",1)-IF($I$77="x",2)-IF($I$90="x",2)+IF($I$83="x",2)-IF($C$83="x",4)-$C$112+IF(H385="x",1)+I385+$M$77+IF(H387="x",1)+IF(J387="x",1)+IF($M$76="x",2)+J385+IF($M$85="x",1)+IF($M$113="x",1)+IF($M$120="x",2)+IF($M$119="x",2)+IF($M$105="x",1)+IF($M$110="x",1)+IF($M$111="x",2)+IF($M$112="x",4)+IF($M$108="x",1)-IF($M$109="x",1)-IF($M$99="x",1)+IF($M$90="x",1)
&amp;"/"&amp;$C$3+IF($C$87="x",$I$3,$I$2)-$C$120+IF($C$75="x",2)+$I$16-$B$10+$M$94+IF($C$77="x",2)-IF($C$78="x",4)-IF($I$78="x",1)-IF($C$79="x",4)+IF($C$80="x",1)-IF($I$77="x",2)-IF($I$90="x",2)+IF($I$83="x",2)-IF($C$83="x",4)-$C$112-5+IF(H385="x",1)+I385+$M$77+IF(H387="x",1)+IF(J387="x",1)+IF($M$76="x",2)+J385+IF($M$85="x",1)+IF($M$113="x",1)+IF($M$120="x",2)+IF($M$119="x",2)+IF($M$105="x",1)+IF($M$110="x",1)+IF($M$111="x",2)+IF($M$112="x",4)+IF($M$108="x",1)-IF($M$109="x",1)-IF($M$99="x",1)+IF($M$90="x",1),
IF(AND($C$3&gt;10,$C$3&lt;16),$C$3+IF($C$87="x",$I$3,$I$2)-$C$120+IF($C$75="x",2)+$I$16-$B$10+$M$94+IF($C$77="x",2)-IF($C$78="x",4)-IF($I$78="x",1)-IF($C$79="x",4)+IF($C$80="x",1)-IF($I$77="x",2)-IF($I$90="x",2)+IF($I$83="x",2)-IF($C$83="x",4)-$C$112+IF(H385="x",1)+I385+$M$77+IF(H387="x",1)+IF(J387="x",1)+IF($M$76="x",2)+J385+IF($M$85="x",1)+IF($M$113="x",1)+IF($M$120="x",2)+IF($M$119="x",2)+IF($M$105="x",1)+IF($M$110="x",1)+IF($M$111="x",2)+IF($M$112="x",4)+IF($M$108="x",1)-IF($M$109="x",1)+IF($M$99="x",20)-IF($M$99="x",1)+IF($M$90="x",1)
&amp;"/"&amp;$C$3+IF($C$87="x",$I$3,$I$2)-$C$120+IF($C$75="x",2)+$I$16-$B$10+$M$94+IF($C$77="x",2)-IF($C$78="x",4)-IF($I$78="x",1)-IF($C$79="x",4)+IF($C$80="x",1)-IF($I$77="x",2)-IF($I$90="x",2)+IF($I$83="x",2)-IF($C$83="x",4)-$C$112-5+IF(H385="x",1)+I385+$M$77+IF(H387="x",1)+IF(J387="x",1)+IF($M$76="x",2)+J385+IF($M$85="x",1)+IF($M$113="x",1)+IF($M$120="x",2)+IF($M$119="x",2)+IF($M$105="x",1)+IF($M$110="x",1)+IF($M$111="x",2)+IF($M$112="x",4)+IF($M$108="x",1)-IF($M$109="x",1)-IF($M$99="x",1)+IF($M$90="x",1)
&amp;"/"&amp;$C$3+IF($C$87="x",$I$3,$I$2)-$C$120+IF($C$75="x",2)+$I$16-$B$10+$M$94+IF($C$77="x",2)-IF($C$78="x",4)-IF($I$78="x",1)-IF($C$79="x",4)+IF($C$80="x",1)-IF($I$77="x",2)-IF($I$90="x",2)+IF($I$83="x",2)-IF($C$83="x",4)-$C$112-10+IF(H385="x",1)+I385+$M$77+IF(H387="x",1)+IF(J387="x",1)+IF($M$76="x",2)+J385+IF($M$85="x",1)+IF($M$113="x",1)+IF($M$120="x",2)+IF($M$119="x",2)+IF($M$105="x",1)+IF($M$110="x",1)+IF($M$111="x",2)+IF($M$112="x",4)+IF($M$108="x",1)-IF($M$109="x",1)-IF($M$99="x",1)+IF($M$90="x",1),
IF(AND($C$3&gt;15),$C$3+IF($C$87="x",$I$3,$I$2)-$C$120+IF($C$75="x",2)+$I$16-$B$10+$M$94+IF($C$77="x",2)-IF($C$78="x",4)-IF($I$78="x",1)-IF($C$79="x",4)+IF($C$80="x",1)-IF($I$77="x",2)-IF($I$90="x",2)+IF($I$83="x",2)-IF($C$83="x",4)-$C$112+IF(H385="x",1)+I385+$M$77+IF(H387="x",1)+IF(J387="x",1)+IF($M$76="x",2)+J385+IF($M$85="x",1)+IF($M$113="x",1)+IF($M$120="x",2)+IF($M$119="x",2)+IF($M$105="x",1)+IF($M$110="x",1)+IF($M$111="x",2)+IF($M$112="x",4)+IF($M$108="x",1)-IF($M$109="x",1)-IF($M$99="x",1)+IF($M$90="x",1)
&amp;"/"&amp;$C$3+IF($C$87="x",$I$3,$I$2)-$C$120+IF($C$75="x",2)+$I$16-$B$10+$M$94+IF($C$77="x",2)-IF($C$78="x",4)-IF($I$78="x",1)-IF($C$79="x",4)+IF($C$80="x",1)-IF($I$77="x",2)-IF($I$90="x",2)+IF($I$83="x",2)-IF($C$83="x",4)-$C$112-5+IF(H385="x",1)+I385+$M$77+IF(H387="x",1)+IF(J387="x",1)+IF($M$76="x",2)+J385+IF($M$85="x",1)+IF($M$113="x",1)+IF($M$120="x",2)+IF($M$119="x",2)+IF($M$105="x",1)+IF($M$110="x",1)+IF($M$111="x",2)+IF($M$112="x",4)+IF($M$108="x",1)-IF($M$109="x",1)-IF($M$99="x",1)+IF($M$90="x",1)
&amp;"/"&amp;$C$3+IF($C$87="x",$I$3,$I$2)-$C$120+IF($C$75="x",2)+$I$16-$B$10+$M$94+IF($C$77="x",2)-IF($C$78="x",4)-IF($I$78="x",1)-IF($C$79="x",4)+IF($C$80="x",1)-IF($I$77="x",2)-IF($I$90="x",2)+IF($I$83="x",2)-IF($C$83="x",4)-$C$112-10+IF(H385="x",1)+I385+$M$77+IF(H387="x",1)+IF(J387="x",1)+IF($M$76="x",2)+J385+IF($M$85="x",1)+IF($M$113="x",1)+IF($M$120="x",2)+IF($M$119="x",2)+IF($M$105="x",1)+IF($M$110="x",1)+IF($M$111="x",2)+IF($M$112="x",4)+IF($M$108="x",1)-IF($M$109="x",1)-IF($M$99="x",1)+IF($M$90="x",1)
&amp;"/"&amp;$C$3+IF($C$87="x",$I$3,$I$2)-$C$120+IF($C$75="x",2)+$I$16-$B$10+$M$94+IF($C$77="x",2)-IF($C$78="x",4)-IF($I$78="x",1)-IF($C$79="x",4)+IF($C$80="x",1)-IF($I$77="x",2)-IF($I$90="x",2)+IF($I$83="x",2)-IF($C$83="x",4)-$C$112-15+IF(H385="x",1)+I385+$M$77+IF(H387="x",1)+IF(J387="x",1)+IF($M$76="x",2)+J385+IF($M$85="x",1)+IF($M$113="x",1)+IF($M$120="x",2)+IF($M$119="x",2)+IF($M$105="x",1)+IF($M$110="x",1)+IF($M$111="x",2)+IF($M$112="x",4)+IF($M$108="x",1)-IF($M$109="x",1)-IF($M$99="x",1)+IF($M$90="x",1))))))</f>
        <v>0</v>
      </c>
      <c r="C386" s="114" t="str">
        <f>_xlfn.IFS($C$7="Minimaalinen","1",$C$7="Taskukokoinen","1n2",$C$7="Hyvin pieni","1n3",$C$7="Pieni","1n4",$C$7="Keskikokoinen","1n6",$C$7="Iso","1n8",$C$7="Valtava","2n6",$C$7="Suunnaton","3n6",$C$7="Giganttinen","4n6")</f>
        <v>1n6</v>
      </c>
      <c r="D386" s="119">
        <f>IF($I$2&lt;0,$I$2,INT($I$2*1.5))+($C$120*2)+I385+$M$77+IF(I387="x",2)+IF(K387="x",2)+IF($M$119="x",2)+IF($M$108="x",1)+$M$94-IF($M$109="x",1)+K385</f>
        <v>0</v>
      </c>
      <c r="E386" s="114" t="str">
        <f>_xlfn.IFS($C$7="Minimaalinen","2",$C$7="Taskukokoinen","2n2",$C$7="Hyvin pieni","2n3",$C$7="Pieni","2n4",$C$7="Keskikokoinen","2n6",$C$7="Iso","2n8",$C$7="Valtava","4n6",$C$7="Suunnaton","6n6",$C$7="Giganttinen","8n6")</f>
        <v>2n6</v>
      </c>
      <c r="F386" s="120">
        <f>SUM(D386*2)</f>
        <v>0</v>
      </c>
      <c r="G386" s="120" t="str">
        <f>(IF($I$89="x","50 %","")&amp;(IF($C$81="x","20 %",""))&amp;(IF($C$82="x","50 %","")))</f>
        <v/>
      </c>
      <c r="H386" s="14" t="s">
        <v>220</v>
      </c>
      <c r="I386" s="14" t="s">
        <v>221</v>
      </c>
      <c r="J386" s="14" t="s">
        <v>222</v>
      </c>
      <c r="K386" s="14" t="s">
        <v>223</v>
      </c>
    </row>
    <row r="387" spans="1:38" x14ac:dyDescent="0.2">
      <c r="A387" s="133" t="s">
        <v>438</v>
      </c>
      <c r="B387" s="121">
        <f>IF($I$85="x","PAINISSA",IF($C$3&lt;=5,$C$3+IF($C$87="x",$I$3,$I$2)-$C$120+IF($C$75="x",2)+$I$16-$B$10+$M$94+IF($C$77="x",2)-IF($C$78="x",4)-IF($I$78="x",1)-IF($C$79="x",4)+IF($C$80="x",1)-IF($I$77="x",2)-IF($I$90="x",2)+IF($I$83="x",2)-IF($C$75="x",4)-$C$112+IF(H385="x",1)+I385+$M$77+IF(H387="x",1)+IF(J387="x",1)+IF($M$76="x",2)+J385+IF($M$85="x",1)+IF($M$113="x",1)+IF($M$120="x",2)+IF($M$119="x",2)+IF($M$105="x",1)+IF($M$110="x",1)+IF($M$111="x",2)+IF($M$112="x",4)+IF($M$108="x",1)-IF($M$109="x",1)-IF($M$99="x",1)+IF($M$90="x",1)-IF($C$97="x",2,4),
IF(AND($C$3&gt;5,$C$3&lt;11),$C$3+IF($C$87="x",$I$3,$I$2)-$C$120+IF($C$75="x",2)+$I$16-$B$10+$M$94+IF($C$77="x",2)-IF($C$78="x",4)-IF($I$78="x",1)-IF($C$79="x",4)+IF($C$80="x",1)-IF($I$77="x",2)-IF($I$90="x",2)+IF($I$83="x",2)-IF($C$83="x",4)-$C$112+IF(H385="x",1)+I385+$M$77+IF(H387="x",1)+IF(J387="x",1)+IF($M$76="x",2)+J385+IF($M$85="x",1)+IF($M$113="x",1)+IF($M$120="x",2)+IF($M$119="x",2)+IF($M$105="x",1)+IF($M$110="x",1)+IF($M$111="x",2)+IF($M$112="x",4)+IF($M$108="x",1)-IF($M$109="x",1)-IF($M$99="x",1)+IF($M$90="x",1)-IF($C$97="x",2,4)
&amp;"/"&amp;$C$3+IF($C$87="x",$I$3,$I$2)-$C$120+IF($C$75="x",2)+$I$16-$B$10+$M$94+IF($C$77="x",2)-IF($C$78="x",4)-IF($I$78="x",1)-IF($C$79="x",4)+IF($C$80="x",1)-IF($I$77="x",2)-IF($I$90="x",2)+IF($I$83="x",2)-IF($C$83="x",4)-$C$112-5+IF(H385="x",1)+I385+$M$77+IF(H387="x",1)+IF(J387="x",1)+IF($M$76="x",2)+J385+IF($M$85="x",1)+IF($M$113="x",1)+IF($M$120="x",2)+IF($M$119="x",2)+IF($M$105="x",1)+IF($M$110="x",1)+IF($M$111="x",2)+IF($M$112="x",4)+IF($M$108="x",1)-IF($M$109="x",1)-IF($M$99="x",1)+IF($M$90="x",1)-IF($C$97="x",2,4),
IF(AND($C$3&gt;10,$C$3&lt;16),$C$3+IF($C$87="x",$I$3,$I$2)-$C$120+IF($C$75="x",2)+$I$16-$B$10+$M$94+IF($C$77="x",2)-IF($C$78="x",4)-IF($I$78="x",1)-IF($C$79="x",4)+IF($C$80="x",1)-IF($I$77="x",2)-IF($I$90="x",2)+IF($I$83="x",2)-IF($C$83="x",4)-$C$112+IF(H385="x",1)+I385+$M$77+IF(H387="x",1)+IF(J387="x",1)+IF($M$76="x",2)+J385+IF($M$85="x",1)+IF($M$113="x",1)+IF($M$120="x",2)+IF($M$119="x",2)+IF($M$105="x",1)+IF($M$110="x",1)+IF($M$111="x",2)+IF($M$112="x",4)+IF($M$108="x",1)-IF($M$109="x",1)+IF($M$99="x",20)-IF($M$99="x",1)+IF($M$90="x",1)-IF($C$97="x",2,4)
&amp;"/"&amp;$C$3+IF($C$87="x",$I$3,$I$2)-$C$120+IF($C$75="x",2)+$I$16-$B$10+$M$94+IF($C$77="x",2)-IF($C$78="x",4)-IF($I$78="x",1)-IF($C$79="x",4)+IF($C$80="x",1)-IF($I$77="x",2)-IF($I$90="x",2)+IF($I$83="x",2)-IF($C$83="x",4)-$C$112-5+IF(H385="x",1)+I385+$M$77+IF(H387="x",1)+IF(J387="x",1)+IF($M$76="x",2)+J385+IF($M$85="x",1)+IF($M$113="x",1)+IF($M$120="x",2)+IF($M$119="x",2)+IF($M$105="x",1)+IF($M$110="x",1)+IF($M$111="x",2)+IF($M$112="x",4)+IF($M$108="x",1)-IF($M$109="x",1)-IF($M$99="x",1)+IF($M$90="x",1)-IF($C$97="x",2,4)
&amp;"/"&amp;$C$3+IF($C$87="x",$I$3,$I$2)-$C$120+IF($C$75="x",2)+$I$16-$B$10+$M$94+IF($C$77="x",2)-IF($C$78="x",4)-IF($I$78="x",1)-IF($C$79="x",4)+IF($C$80="x",1)-IF($I$77="x",2)-IF($I$90="x",2)+IF($I$83="x",2)-IF($C$83="x",4)-$C$112-10+IF(H385="x",1)+I385+$M$77+IF(H387="x",1)+IF(J387="x",1)+IF($M$76="x",2)+J385+IF($M$85="x",1)+IF($M$113="x",1)+IF($M$120="x",2)+IF($M$119="x",2)+IF($M$105="x",1)+IF($M$110="x",1)+IF($M$111="x",2)+IF($M$112="x",4)+IF($M$108="x",1)-IF($M$109="x",1)-IF($M$99="x",1)+IF($M$90="x",1)-IF($C$97="x",2,4),
IF(AND($C$3&gt;15),$C$3+IF($C$87="x",$I$3,$I$2)-$C$120+IF($C$75="x",2)+$I$16-$B$10+$M$94+IF($C$77="x",2)-IF($C$78="x",4)-IF($I$78="x",1)-IF($C$79="x",4)+IF($C$80="x",1)-IF($I$77="x",2)-IF($I$90="x",2)+IF($I$83="x",2)-IF($C$83="x",4)-$C$112+IF(H385="x",1)+I385+$M$77+IF(H387="x",1)+IF(J387="x",1)+IF($M$76="x",2)+J385+IF($M$85="x",1)+IF($M$113="x",1)+IF($M$120="x",2)+IF($M$119="x",2)+IF($M$105="x",1)+IF($M$110="x",1)+IF($M$111="x",2)+IF($M$112="x",4)+IF($M$108="x",1)-IF($M$109="x",1)-IF($M$99="x",1)+IF($M$90="x",1)-IF($C$97="x",2,4)
&amp;"/"&amp;$C$3+IF($C$87="x",$I$3,$I$2)-$C$120+IF($C$75="x",2)+$I$16-$B$10+$M$94+IF($C$77="x",2)-IF($C$78="x",4)-IF($I$78="x",1)-IF($C$79="x",4)+IF($C$80="x",1)-IF($I$77="x",2)-IF($I$90="x",2)+IF($I$83="x",2)-IF($C$83="x",4)-$C$112-5+IF(H385="x",1)+I385+$M$77+IF(H387="x",1)+IF(J387="x",1)+IF($M$76="x",2)+J385+IF($M$85="x",1)+IF($M$113="x",1)+IF($M$120="x",2)+IF($M$119="x",2)+IF($M$105="x",1)+IF($M$110="x",1)+IF($M$111="x",2)+IF($M$112="x",4)+IF($M$108="x",1)-IF($M$109="x",1)-IF($M$99="x",1)+IF($M$90="x",1)-IF($C$97="x",2,4)
&amp;"/"&amp;$C$3+IF($C$87="x",$I$3,$I$2)-$C$120+IF($C$75="x",2)+$I$16-$B$10+$M$94+IF($C$77="x",2)-IF($C$78="x",4)-IF($I$78="x",1)-IF($C$79="x",4)+IF($C$80="x",1)-IF($I$77="x",2)-IF($I$90="x",2)+IF($I$83="x",2)-IF($C$83="x",4)-$C$112-10+IF(H385="x",1)+I385+$M$77+IF(H387="x",1)+IF(J387="x",1)+IF($M$76="x",2)+J385+IF($M$85="x",1)+IF($M$113="x",1)+IF($M$120="x",2)+IF($M$119="x",2)+IF($M$105="x",1)+IF($M$110="x",1)+IF($M$111="x",2)+IF($M$112="x",4)+IF($M$108="x",1)-IF($M$109="x",1)-IF($M$99="x",1)+IF($M$90="x",1)-IF($C$97="x",2,4)
&amp;"/"&amp;$C$3+IF($C$87="x",$I$3,$I$2)-$C$120+IF($C$75="x",2)+$I$16-$B$10+$M$94+IF($C$77="x",2)-IF($C$78="x",4)-IF($I$78="x",1)-IF($C$79="x",4)+IF($C$80="x",1)-IF($I$77="x",2)-IF($I$90="x",2)+IF($I$83="x",2)-IF($C$83="x",4)-$C$112-15+IF(H385="x",1)+I385+$M$77+IF(H387="x",1)+IF(J387="x",1)+IF($M$76="x",2)+J385+IF($M$85="x",1)+IF($M$113="x",1)+IF($M$120="x",2)+IF($M$119="x",2)+IF($M$105="x",1)+IF($M$110="x",1)+IF($M$111="x",2)+IF($M$112="x",4)+IF($M$108="x",1)-IF($M$109="x",1)-IF($M$99="x",1)+IF($M$90="x",1)-IF($C$97="x",2,4))))))</f>
        <v>-4</v>
      </c>
      <c r="C387" s="49" t="str">
        <f>_xlfn.IFS($C$7="Minimaalinen","1",$C$7="Taskukokoinen","1n2",$C$7="Hyvin pieni","1n3",$C$7="Pieni","1n4",$C$7="Keskikokoinen","1n6",$C$7="Iso","1n8",$C$7="Valtava","2n6",$C$7="Suunnaton","3n6",$C$7="Giganttinen","4n6")</f>
        <v>1n6</v>
      </c>
      <c r="D387" s="121">
        <f>SUM($I$2+$C$120)+I385+$M$77+IF(I387="x",2)+IF(K387="x",2)+IF($M$119="x",2)+IF($M$108="x",1)+$M$94-IF($M$109="x",1)+K385</f>
        <v>0</v>
      </c>
      <c r="E387" s="49" t="str">
        <f>_xlfn.IFS($C$7="Minimaalinen","2",$C$7="Taskukokoinen","2n2",$C$7="Hyvin pieni","2n3",$C$7="Pieni","2n4",$C$7="Keskikokoinen","2n6",$C$7="Iso","2n8",$C$7="Valtava","4n6",$C$7="Suunnaton","6n6",$C$7="Giganttinen","8n6")</f>
        <v>2n6</v>
      </c>
      <c r="F387" s="12">
        <f>SUM(D387*2)</f>
        <v>0</v>
      </c>
      <c r="G387" s="82" t="str">
        <f>(IF($I$89="x","50 %","")&amp;(IF($C$81="x","20 %",""))&amp;(IF($C$82="x","50 %","")))</f>
        <v/>
      </c>
      <c r="H387" s="28"/>
      <c r="I387" s="28"/>
      <c r="J387" s="28"/>
      <c r="K387" s="28"/>
      <c r="AB387" s="46"/>
      <c r="AC387" s="48"/>
      <c r="AD387" s="48"/>
      <c r="AE387" s="48"/>
      <c r="AF387" s="48"/>
      <c r="AG387" s="48"/>
      <c r="AH387" s="48"/>
      <c r="AI387" s="48"/>
      <c r="AJ387" s="48"/>
      <c r="AK387" s="48"/>
      <c r="AL387" s="48"/>
    </row>
    <row r="388" spans="1:38" x14ac:dyDescent="0.2">
      <c r="A388" s="133" t="s">
        <v>437</v>
      </c>
      <c r="B388" s="82">
        <f>IF($I$85="x","PAINISSA",IF($C$3&lt;=5,$C$3+IF($C$87="x",$I$3,$I$2)-$C$120+IF($C$75="x",2)+$I$16-$B$10+$M$94+IF($C$77="x",2)-IF($C$78="x",4)-IF($I$78="x",1)-IF($C$79="x",4)+IF($C$80="x",1)-IF($I$77="x",2)-IF($I$90="x",2)+IF($I$83="x",2)-IF($C$75="x",4)-$C$112+IF(H385="x",1)+I385+$M$77+IF(H387="x",1)+IF(J387="x",1)+IF($M$76="x",2)+J385+IF($M$85="x",1)+IF($M$113="x",1)+IF($M$120="x",2)+IF($M$119="x",2)+IF($M$105="x",1)+IF($M$110="x",1)+IF($M$111="x",2)+IF($M$112="x",4)+IF($M$108="x",1)-IF($M$109="x",1)-IF($M$99="x",1)+IF($M$90="x",1)-IF($C$97="x",4,6),
IF(AND($C$3&gt;5,$C$3&lt;11),$C$3+IF($C$87="x",$I$3,$I$2)-$C$120+IF($C$75="x",2)+$I$16-$B$10+$M$94+IF($C$77="x",2)-IF($C$78="x",4)-IF($I$78="x",1)-IF($C$79="x",4)+IF($C$80="x",1)-IF($I$77="x",2)-IF($I$90="x",2)+IF($I$83="x",2)-IF($C$83="x",4)-$C$112+IF(H385="x",1)+I385+$M$77+IF(H387="x",1)+IF(J387="x",1)+IF($M$76="x",2)+J385+IF($M$85="x",1)+IF($M$113="x",1)+IF($M$120="x",2)+IF($M$119="x",2)+IF($M$105="x",1)+IF($M$110="x",1)+IF($M$111="x",2)+IF($M$112="x",4)+IF($M$108="x",1)-IF($M$109="x",1)-IF($M$99="x",1)+IF($M$90="x",1)-IF($C$97="x",4,6)
&amp;"/"&amp;$C$3+IF($C$87="x",$I$3,$I$2)-$C$120+IF($C$75="x",2)+$I$16-$B$10+$M$94+IF($C$77="x",2)-IF($C$78="x",4)-IF($I$78="x",1)-IF($C$79="x",4)+IF($C$80="x",1)-IF($I$77="x",2)-IF($I$90="x",2)+IF($I$83="x",2)-IF($C$83="x",4)-$C$112-5+IF(H385="x",1)+I385+$M$77+IF(H387="x",1)+IF(J387="x",1)+IF($M$76="x",2)+J385+IF($M$85="x",1)+IF($M$113="x",1)+IF($M$120="x",2)+IF($M$119="x",2)+IF($M$105="x",1)+IF($M$110="x",1)+IF($M$111="x",2)+IF($M$112="x",4)+IF($M$108="x",1)-IF($M$109="x",1)-IF($M$99="x",1)+IF($M$90="x",1)-IF($C$97="x",4,6),
IF(AND($C$3&gt;10,$C$3&lt;16),$C$3+IF($C$87="x",$I$3,$I$2)-$C$120+IF($C$75="x",2)+$I$16-$B$10+$M$94+IF($C$77="x",2)-IF($C$78="x",4)-IF($I$78="x",1)-IF($C$79="x",4)+IF($C$80="x",1)-IF($I$77="x",2)-IF($I$90="x",2)+IF($I$83="x",2)-IF($C$83="x",4)-$C$112+IF(H385="x",1)+I385+$M$77+IF(H387="x",1)+IF(J387="x",1)+IF($M$76="x",2)+J385+IF($M$85="x",1)+IF($M$113="x",1)+IF($M$120="x",2)+IF($M$119="x",2)+IF($M$105="x",1)+IF($M$110="x",1)+IF($M$111="x",2)+IF($M$112="x",4)+IF($M$108="x",1)-IF($M$109="x",1)+IF($M$99="x",20)-IF($M$99="x",1)+IF($M$90="x",1)-IF($C$97="x",4,6)
&amp;"/"&amp;$C$3+IF($C$87="x",$I$3,$I$2)-$C$120+IF($C$75="x",2)+$I$16-$B$10+$M$94+IF($C$77="x",2)-IF($C$78="x",4)-IF($I$78="x",1)-IF($C$79="x",4)+IF($C$80="x",1)-IF($I$77="x",2)-IF($I$90="x",2)+IF($I$83="x",2)-IF($C$83="x",4)-$C$112-5+IF(H385="x",1)+I385+$M$77+IF(H387="x",1)+IF(J387="x",1)+IF($M$76="x",2)+J385+IF($M$85="x",1)+IF($M$113="x",1)+IF($M$120="x",2)+IF($M$119="x",2)+IF($M$105="x",1)+IF($M$110="x",1)+IF($M$111="x",2)+IF($M$112="x",4)+IF($M$108="x",1)-IF($M$109="x",1)-IF($M$99="x",1)+IF($M$90="x",1)-IF($C$97="x",4,6)
&amp;"/"&amp;$C$3+IF($C$87="x",$I$3,$I$2)-$C$120+IF($C$75="x",2)+$I$16-$B$10+$M$94+IF($C$77="x",2)-IF($C$78="x",4)-IF($I$78="x",1)-IF($C$79="x",4)+IF($C$80="x",1)-IF($I$77="x",2)-IF($I$90="x",2)+IF($I$83="x",2)-IF($C$83="x",4)-$C$112-10+IF(H385="x",1)+I385+$M$77+IF(H387="x",1)+IF(J387="x",1)+IF($M$76="x",2)+J385+IF($M$85="x",1)+IF($M$113="x",1)+IF($M$120="x",2)+IF($M$119="x",2)+IF($M$105="x",1)+IF($M$110="x",1)+IF($M$111="x",2)+IF($M$112="x",4)+IF($M$108="x",1)-IF($M$109="x",1)-IF($M$99="x",1)+IF($M$90="x",1)-IF($C$97="x",4,6),
IF(AND($C$3&gt;15),$C$3+IF($C$87="x",$I$3,$I$2)-$C$120+IF($C$75="x",2)+$I$16-$B$10+$M$94+IF($C$77="x",2)-IF($C$78="x",4)-IF($I$78="x",1)-IF($C$79="x",4)+IF($C$80="x",1)-IF($I$77="x",2)-IF($I$90="x",2)+IF($I$83="x",2)-IF($C$83="x",4)-$C$112+IF(H385="x",1)+I385+$M$77+IF(H387="x",1)+IF(J387="x",1)+IF($M$76="x",2)+J385+IF($M$85="x",1)+IF($M$113="x",1)+IF($M$120="x",2)+IF($M$119="x",2)+IF($M$105="x",1)+IF($M$110="x",1)+IF($M$111="x",2)+IF($M$112="x",4)+IF($M$108="x",1)-IF($M$109="x",1)-IF($M$99="x",1)+IF($M$90="x",1)-IF($C$97="x",4,6)
&amp;"/"&amp;$C$3+IF($C$87="x",$I$3,$I$2)-$C$120+IF($C$75="x",2)+$I$16-$B$10+$M$94+IF($C$77="x",2)-IF($C$78="x",4)-IF($I$78="x",1)-IF($C$79="x",4)+IF($C$80="x",1)-IF($I$77="x",2)-IF($I$90="x",2)+IF($I$83="x",2)-IF($C$83="x",4)-$C$112-5+IF(H385="x",1)+I385+$M$77+IF(H387="x",1)+IF(J387="x",1)+IF($M$76="x",2)+J385+IF($M$85="x",1)+IF($M$113="x",1)+IF($M$120="x",2)+IF($M$119="x",2)+IF($M$105="x",1)+IF($M$110="x",1)+IF($M$111="x",2)+IF($M$112="x",4)+IF($M$108="x",1)-IF($M$109="x",1)-IF($M$99="x",1)+IF($M$90="x",1)-IF($C$97="x",4,6)
&amp;"/"&amp;$C$3+IF($C$87="x",$I$3,$I$2)-$C$120+IF($C$75="x",2)+$I$16-$B$10+$M$94+IF($C$77="x",2)-IF($C$78="x",4)-IF($I$78="x",1)-IF($C$79="x",4)+IF($C$80="x",1)-IF($I$77="x",2)-IF($I$90="x",2)+IF($I$83="x",2)-IF($C$83="x",4)-$C$112-10+IF(H385="x",1)+I385+$M$77+IF(H387="x",1)+IF(J387="x",1)+IF($M$76="x",2)+J385+IF($M$85="x",1)+IF($M$113="x",1)+IF($M$120="x",2)+IF($M$119="x",2)+IF($M$105="x",1)+IF($M$110="x",1)+IF($M$111="x",2)+IF($M$112="x",4)+IF($M$108="x",1)-IF($M$109="x",1)-IF($M$99="x",1)+IF($M$90="x",1)-IF($C$97="x",4,6)
&amp;"/"&amp;$C$3+IF($C$87="x",$I$3,$I$2)-$C$120+IF($C$75="x",2)+$I$16-$B$10+$M$94+IF($C$77="x",2)-IF($C$78="x",4)-IF($I$78="x",1)-IF($C$79="x",4)+IF($C$80="x",1)-IF($I$77="x",2)-IF($I$90="x",2)+IF($I$83="x",2)-IF($C$83="x",4)-$C$112-15+IF(H385="x",1)+I385+$M$77+IF(H387="x",1)+IF(J387="x",1)+IF($M$76="x",2)+J385+IF($M$85="x",1)+IF($M$113="x",1)+IF($M$120="x",2)+IF($M$119="x",2)+IF($M$105="x",1)+IF($M$110="x",1)+IF($M$111="x",2)+IF($M$112="x",4)+IF($M$108="x",1)-IF($M$109="x",1)-IF($M$99="x",1)+IF($M$90="x",1)-IF($C$97="x",4,6))))))</f>
        <v>-6</v>
      </c>
      <c r="C388" s="49" t="str">
        <f>_xlfn.IFS($C$7="Minimaalinen","1",$C$7="Taskukokoinen","1n2",$C$7="Hyvin pieni","1n3",$C$7="Pieni","1n4",$C$7="Keskikokoinen","1n6",$C$7="Iso","1n8",$C$7="Valtava","2n6",$C$7="Suunnaton","3n6",$C$7="Giganttinen","4n6")</f>
        <v>1n6</v>
      </c>
      <c r="D388" s="121">
        <f>SUM($I$2+$C$120)+I385+$M$77+IF(I387="x",2)+IF(K387="x",2)+IF($M$119="x",2)+IF($M$108="x",1)+$M$94-IF($M$109="x",1)+K385</f>
        <v>0</v>
      </c>
      <c r="E388" s="49" t="str">
        <f>_xlfn.IFS($C$7="Minimaalinen","2",$C$7="Taskukokoinen","2n2",$C$7="Hyvin pieni","2n3",$C$7="Pieni","2n4",$C$7="Keskikokoinen","2n6",$C$7="Iso","2n8",$C$7="Valtava","4n6",$C$7="Suunnaton","6n6",$C$7="Giganttinen","8n6")</f>
        <v>2n6</v>
      </c>
      <c r="F388" s="12">
        <f>SUM(D388*2)</f>
        <v>0</v>
      </c>
      <c r="G388" s="82" t="str">
        <f>(IF($I$89="x","50 %","")&amp;(IF($C$81="x","20 %",""))&amp;(IF($C$82="x","50 %","")))</f>
        <v/>
      </c>
      <c r="H388" s="11"/>
      <c r="I388" s="15"/>
      <c r="AC388" s="41"/>
      <c r="AD388" s="49"/>
      <c r="AE388" s="41"/>
      <c r="AF388" s="49"/>
      <c r="AG388" s="40"/>
      <c r="AH388" s="40"/>
      <c r="AI388" s="40"/>
      <c r="AJ388" s="40"/>
      <c r="AK388" s="40"/>
      <c r="AL388" s="40"/>
    </row>
    <row r="389" spans="1:38" x14ac:dyDescent="0.2">
      <c r="A389" s="122" t="s">
        <v>436</v>
      </c>
      <c r="B389" s="123">
        <f>IF($I$85="x","PAINISSA",IF(AND($C$90="",$C$118=""),SUM($C$3,$I$2)-$C$120+IF($C$75="x",2)+$I$16-$B$10+$M$94+IF($C$77="x",2)-IF($C$78="x",4)-IF($I$78="x",1)-IF($C$79="x",4)+IF($C$80="x",1)-IF($I$77="x",2)-IF($I$90="x",2)+IF($I$83="x",2)-IF($C$75="x",4)-$C$112+IF(H385="x",1)+I385+$M$77+IF(H387="x",1)+IF(J387="x",1)+IF($M$76="x",2)+J385+IF($M$85="x",1)+IF($M$113="x",1)+IF($M$120="x",2)+IF($M$119="x",2)+IF($M$105="x",1)+IF($M$110="x",1)+IF($M$111="x",2)+IF($M$112="x",4)+IF($M$108="x",1)-IF($M$109="x",1)-IF($M$99="x",1)+IF($M$90="x",1)-IF($C$97="x",4,10),
IF(AND($C$90="x",$C$118=""),SUM($C$3,$I$2)-$C$120+IF($C$75="x",2)+$I$16-$B$10+$M$94+IF($C$77="x",2)-IF($C$78="x",4)-IF($I$78="x",1)-IF($C$79="x",4)+IF($C$80="x",1)-IF($I$77="x",2)-IF($I$90="x",2)+IF($I$83="x",2)-IF($C$83="x",4)-$C$112+IF(H385="x",1)+I385+$M$77+IF(H387="x",1)+IF(J387="x",1)+IF($M$76="x",2)+J385+IF($M$85="x",1)+IF($M$113="x",1)+IF($M$120="x",2)+IF($M$119="x",2)+IF($M$105="x",1)+IF($M$110="x",1)+IF($M$111="x",2)+IF($M$112="x",4)+IF($M$108="x",1)-IF($M$109="x",1)-IF($M$99="x",1)+IF($M$90="x",1)-IF($C$97="x",4,10)
&amp;"/"&amp;SUM($C$3,$I$2)-$C$120+IF($C$75="x",2)+$I$16-$B$10+$M$94+IF($C$77="x",2)-IF($C$78="x",4)-IF($I$78="x",1)-IF($C$79="x",4)+IF($C$80="x",1)-IF($I$77="x",2)-IF($I$90="x",2)+IF($I$83="x",2)-IF($C$83="x",4)-$C$112+IF(H385="x",1)+I385+$M$77+IF(H387="x",1)+IF(J387="x",1)+IF($M$76="x",2)+J385+IF($M$85="x",1)+IF($M$113="x",1)+IF($M$120="x",2)+IF($M$119="x",2)+IF($M$105="x",1)+IF($M$110="x",1)+IF($M$111="x",2)+IF($M$112="x",4)+IF($M$108="x",1)-IF($M$109="x",1)-IF($M$99="x",1)+IF($M$90="x",1)-IF($C$97="x",4,10)-5,
IF(AND($C$90="x",$C$118="x"),SUM($C$3,$I$2)-$C$120+IF($C$75="x",2)+$I$16-$B$10+$M$94+IF($C$77="x",2)-IF($C$78="x",4)-IF($I$78="x",1)-IF($C$79="x",4)+IF($C$80="x",1)-IF($I$77="x",2)-IF($I$90="x",2)+IF($I$83="x",2)-IF($C$83="x",4)-$C$112+IF(H385="x",1)+I385+$M$77+IF(H387="x",1)+IF(J387="x",1)+IF($M$76="x",2)+J385+IF($M$85="x",1)+IF($M$113="x",1)+IF($M$120="x",2)+IF($M$119="x",2)+IF($M$105="x",1)+IF($M$110="x",1)+IF($M$111="x",2)+IF($M$112="x",4)+IF($M$108="x",1)-IF($M$109="x",1)+IF($M$99="x",20)-IF($M$99="x",1)+IF($M$90="x",1)-IF($C$97="x",4,10)
&amp;"/"&amp;SUM($C$3,$I$2)-$C$120+IF($C$75="x",2)+$I$16-$B$10+$M$94+IF($C$77="x",2)-IF($C$78="x",4)-IF($I$78="x",1)-IF($C$79="x",4)+IF($C$80="x",1)-IF($I$77="x",2)-IF($I$90="x",2)+IF($I$83="x",2)-IF($C$83="x",4)-$C$112-5+IF(H385="x",1)+I385+$M$77+IF(H387="x",1)+IF(J387="x",1)+IF($M$76="x",2)+J385+IF($M$85="x",1)+IF($M$113="x",1)+IF($M$120="x",2)+IF($M$119="x",2)+IF($M$105="x",1)+IF($M$110="x",1)+IF($M$111="x",2)+IF($M$112="x",4)+IF($M$108="x",1)-IF($M$109="x",1)-IF($M$99="x",1)+IF($M$90="x",1)-IF($C$97="x",4,10)
&amp;"/"&amp;SUM($C$3,$I$2)-$C$120+IF($C$75="x",2)+$I$16-$B$10+$M$94+IF($C$77="x",2)-IF($C$78="x",4)-IF($I$78="x",1)-IF($C$79="x",4)+IF($C$80="x",1)-IF($I$77="x",2)-IF($I$90="x",2)+IF($I$83="x",2)-IF($C$83="x",4)-$C$112-10+IF(H385="x",1)+I385+$M$77+IF(H387="x",1)+IF(J387="x",1)+IF($M$76="x",2)+J385+IF($M$85="x",1)+IF($M$113="x",1)+IF($M$120="x",2)+IF($M$119="x",2)+IF($M$105="x",1)+IF($M$110="x",1)+IF($M$111="x",2)+IF($M$112="x",4)+IF($M$108="x",1)-IF($M$109="x",1)-IF($M$99="x",1)+IF($M$90="x",1)-IF($C$97="x",4,10)))))</f>
        <v>-10</v>
      </c>
      <c r="C389" s="54" t="str">
        <f>_xlfn.IFS($C$7="Minimaalinen","1",$C$7="Taskukokoinen","1n2",$C$7="Hyvin pieni","1n3",$C$7="Pieni","1n4",$C$7="Keskikokoinen","1n6",$C$7="Iso","1n8",$C$7="Valtava","2n6",$C$7="Suunnaton","3n6",$C$7="Giganttinen","4n6")</f>
        <v>1n6</v>
      </c>
      <c r="D389" s="123">
        <f>INT($I$2/2)+($C$120)+I385+$M$77+IF(I387="x",2)+IF(K387="x",2)+IF($M$119="x",2)+IF($M$108="x",1)+$M$94+K385-IF($M$109="x",1)</f>
        <v>0</v>
      </c>
      <c r="E389" s="54" t="str">
        <f>_xlfn.IFS($C$7="Minimaalinen","2",$C$7="Taskukokoinen","2n2",$C$7="Hyvin pieni","2n3",$C$7="Pieni","2n4",$C$7="Keskikokoinen","2n6",$C$7="Iso","2n8",$C$7="Valtava","4n6",$C$7="Suunnaton","6n6",$C$7="Giganttinen","8n6")</f>
        <v>2n6</v>
      </c>
      <c r="F389" s="124">
        <f>SUM(D389*2)</f>
        <v>0</v>
      </c>
      <c r="G389" s="124" t="str">
        <f>(IF($I$89="x","50 %","")&amp;(IF($C$81="x","20 %",""))&amp;(IF($C$82="x","50 %","")))</f>
        <v/>
      </c>
      <c r="H389" s="40"/>
      <c r="K389" s="82"/>
      <c r="AB389" s="50"/>
      <c r="AC389" s="51"/>
      <c r="AD389" s="49"/>
      <c r="AE389" s="51"/>
      <c r="AF389" s="49"/>
      <c r="AG389" s="49"/>
      <c r="AH389" s="49"/>
      <c r="AI389" s="48"/>
      <c r="AJ389" s="48"/>
      <c r="AK389" s="48"/>
      <c r="AL389" s="48"/>
    </row>
    <row r="390" spans="1:38" x14ac:dyDescent="0.2">
      <c r="B390" s="15"/>
      <c r="C390" s="15"/>
      <c r="D390" s="15"/>
      <c r="F390" s="15"/>
      <c r="G390" s="15"/>
      <c r="H390" s="15"/>
      <c r="I390" s="15"/>
      <c r="AB390" s="52"/>
      <c r="AC390" s="53"/>
      <c r="AD390" s="54"/>
      <c r="AE390" s="53"/>
      <c r="AF390" s="54"/>
      <c r="AG390" s="54"/>
      <c r="AH390" s="53"/>
      <c r="AI390" s="40"/>
      <c r="AJ390" s="40"/>
      <c r="AK390" s="40"/>
      <c r="AL390" s="40"/>
    </row>
    <row r="391" spans="1:38" x14ac:dyDescent="0.2">
      <c r="B391" s="15"/>
      <c r="C391" s="15"/>
      <c r="D391" s="15"/>
      <c r="F391" s="15"/>
      <c r="G391" s="15"/>
      <c r="H391" s="15"/>
      <c r="I391" s="15"/>
    </row>
    <row r="392" spans="1:38" x14ac:dyDescent="0.2">
      <c r="A392" s="34" t="s">
        <v>306</v>
      </c>
      <c r="B392" s="11" t="s">
        <v>1</v>
      </c>
      <c r="C392" s="11" t="s">
        <v>2</v>
      </c>
      <c r="D392" s="11" t="s">
        <v>3</v>
      </c>
      <c r="E392" s="11" t="s">
        <v>229</v>
      </c>
      <c r="F392" s="11" t="s">
        <v>3</v>
      </c>
      <c r="G392" s="11" t="s">
        <v>45</v>
      </c>
      <c r="H392" s="14" t="s">
        <v>179</v>
      </c>
      <c r="I392" s="130" t="s">
        <v>242</v>
      </c>
      <c r="J392" s="130" t="s">
        <v>224</v>
      </c>
      <c r="K392" s="130" t="s">
        <v>225</v>
      </c>
    </row>
    <row r="393" spans="1:38" x14ac:dyDescent="0.2">
      <c r="A393" s="85" t="s">
        <v>219</v>
      </c>
      <c r="B393" s="98">
        <f>IF($I$85="x","PAINISSA",IF($C$3&lt;=5,SUM($C$3,$I$2)-$C$120+IF($C$75="x",2)+$I$16-$B$10+$M$94+IF($C$77="x",2)-IF($C$78="x",4)-IF($I$78="x",1)-IF($C$79="x",4)+IF($C$80="x",1)-IF($I$77="x",2)-IF($I$90="x",2)+IF($I$83="x",2)-IF($C$75="x",4)-$C$112+IF(H393="x",1)+I393+$M$77+IF(H395="x",1)+IF(J395="x",1)+IF($M$76="x",2)+J393+IF($M$85="x",1)+IF($M$113="x",1)+IF($M$120="x",2)+IF($M$119="x",2)+IF($M$105="x",1)+IF($M$110="x",1)+IF($M$111="x",2)+IF($M$112="x",4)+IF($M$108="x",1)-IF($M$109="x",1)-IF($M$99="x",1)+IF($M$90="x",1),
IF(AND($C$3&gt;5,$C$3&lt;11),SUM($C$3,$I$2)-$C$120+IF($C$75="x",2)+$I$16-$B$10+$M$94+IF($C$77="x",2)-IF($C$78="x",4)-IF($I$78="x",1)-IF($C$79="x",4)+IF($C$80="x",1)-IF($I$77="x",2)-IF($I$90="x",2)+IF($I$83="x",2)-IF($C$83="x",4)-$C$112+IF(H393="x",1)+I393+$M$77+IF(H395="x",1)+IF(J395="x",1)+IF($M$76="x",2)+J393+IF($M$85="x",1)+IF($M$113="x",1)+IF($M$120="x",2)+IF($M$119="x",2)+IF($M$105="x",1)+IF($M$110="x",1)+IF($M$111="x",2)+IF($M$112="x",4)+IF($M$108="x",1)-IF($M$109="x",1)-IF($M$99="x",1)+IF($M$90="x",1)
&amp;"/"&amp;SUM($C$3,$I$2)-$C$120+IF($C$75="x",2)+$I$16-$B$10+$M$94+IF($C$77="x",2)-IF($C$78="x",4)-IF($I$78="x",1)-IF($C$79="x",4)+IF($C$80="x",1)-IF($I$77="x",2)-IF($I$90="x",2)+IF($I$83="x",2)-IF($C$83="x",4)-$C$112-5+IF(H393="x",1)+I393+$M$77+IF(H395="x",1)+IF(J395="x",1)+IF($M$76="x",2)+J393+IF($M$85="x",1)+IF($M$113="x",1)+IF($M$120="x",2)+IF($M$119="x",2)+IF($M$105="x",1)+IF($M$110="x",1)+IF($M$111="x",2)+IF($M$112="x",4)+IF($M$108="x",1)-IF($M$109="x",1)-IF($M$99="x",1)+IF($M$90="x",1),
IF(AND($C$3&gt;10,$C$3&lt;16),SUM($C$3,$I$2)-$C$120+IF($C$75="x",2)+$I$16-$B$10+$M$94+IF($C$77="x",2)-IF($C$78="x",4)-IF($I$78="x",1)-IF($C$79="x",4)+IF($C$80="x",1)-IF($I$77="x",2)-IF($I$90="x",2)+IF($I$83="x",2)-IF($C$83="x",4)-$C$112+IF(H393="x",1)+I393+$M$77+IF(H395="x",1)+IF(J395="x",1)+IF($M$76="x",2)+J393+IF($M$85="x",1)+IF($M$113="x",1)+IF($M$120="x",2)+IF($M$119="x",2)+IF($M$105="x",1)+IF($M$110="x",1)+IF($M$111="x",2)+IF($M$112="x",4)+IF($M$108="x",1)-IF($M$109="x",1)+IF($M$99="x",20)-IF($M$99="x",1)+IF($M$90="x",1)
&amp;"/"&amp;SUM($C$3,$I$2)-$C$120+IF($C$75="x",2)+$I$16-$B$10+$M$94+IF($C$77="x",2)-IF($C$78="x",4)-IF($I$78="x",1)-IF($C$79="x",4)+IF($C$80="x",1)-IF($I$77="x",2)-IF($I$90="x",2)+IF($I$83="x",2)-IF($C$83="x",4)-$C$112-5+IF(H747="x",1)+IF(H393="x",1)+I393+$M$77+IF(H395="x",1)+IF(J395="x",1)+IF($M$76="x",2)+J393+IF($M$85="x",1)+IF($M$113="x",1)+IF($M$120="x",2)+IF($M$119="x",2)+IF($M$105="x",1)+IF($M$110="x",1)+IF($M$111="x",2)+IF($M$112="x",4)+IF($M$108="x",1)-IF($M$109="x",1)-IF($M$99="x",1)+IF($M$90="x",1)
&amp;"/"&amp;SUM($C$3,$I$2)-$C$120+IF($C$75="x",2)+$I$16-$B$10+$M$94+IF($C$77="x",2)-IF($C$78="x",4)-IF($I$78="x",1)-IF($C$79="x",4)+IF($C$80="x",1)-IF($I$77="x",2)-IF($I$90="x",2)+IF($I$83="x",2)-IF($C$83="x",4)-$C$112-10+IF(H747="x",1)+IF(H393="x",1)+I393+$M$77+IF(H395="x",1)+IF(J395="x",1)+IF($M$76="x",2)+J393+IF($M$85="x",1)+IF($M$113="x",1)+IF($M$120="x",2)+IF($M$119="x",2)+IF($M$105="x",1)+IF($M$110="x",1)+IF($M$111="x",2)+IF($M$112="x",4)+IF($M$108="x",1)-IF($M$109="x",1)-IF($M$99="x",1)+IF($M$90="x",1),
IF(AND($C$3&gt;15),SUM($C$3,$I$2)-$C$120+IF($C$75="x",2)+$I$16-$B$10+$M$94+IF($C$77="x",2)-IF($C$78="x",4)-IF($I$78="x",1)-IF($C$79="x",4)+IF($C$80="x",1)-IF($I$77="x",2)-IF($I$90="x",2)+IF($I$83="x",2)-IF($C$83="x",4)-$C$112+IF(H393="x",1)+I393+$M$77+IF(H395="x",1)+IF(J395="x",1)+IF($M$76="x",2)+J393+IF($M$85="x",1)+IF($M$113="x",1)+IF($M$120="x",2)+IF($M$119="x",2)+IF($M$105="x",1)+IF($M$110="x",1)+IF($M$111="x",2)+IF($M$112="x",4)+IF($M$108="x",1)-IF($M$109="x",1)-IF($M$99="x",1)+IF($M$90="x",1)
&amp;"/"&amp;SUM($C$3,$I$2)-$C$120+IF($C$75="x",2)+$I$16-$B$10+$M$94+IF($C$77="x",2)-IF($C$78="x",4)-IF($I$78="x",1)-IF($C$79="x",4)+IF($C$80="x",1)-IF($I$77="x",2)-IF($I$90="x",2)+IF($I$83="x",2)-IF($C$83="x",4)-$C$112-5+IF(H747="x",1)+IF(H393="x",1)+I393+$M$77+IF(H395="x",1)+IF(J395="x",1)+IF($M$76="x",2)+J393+IF($M$85="x",1)+IF($M$113="x",1)+IF($M$120="x",2)+IF($M$119="x",2)+IF($M$105="x",1)+IF($M$110="x",1)+IF($M$111="x",2)+IF($M$112="x",4)+IF($M$108="x",1)-IF($M$109="x",1)-IF($M$99="x",1)+IF($M$90="x",1)
&amp;"/"&amp;SUM($C$3,$I$2)-$C$120+IF($C$75="x",2)+$I$16-$B$10+$M$94+IF($C$77="x",2)-IF($C$78="x",4)-IF($I$78="x",1)-IF($C$79="x",4)+IF($C$80="x",1)-IF($I$77="x",2)-IF($I$90="x",2)+IF($I$83="x",2)-IF($C$83="x",4)-$C$112-10+IF(H747="x",1)+IF(H393="x",1)+I393+$M$77+IF(H395="x",1)+IF(J395="x",1)+IF($M$76="x",2)+J393+IF($M$85="x",1)+IF($M$113="x",1)+IF($M$120="x",2)+IF($M$119="x",2)+IF($M$105="x",1)+IF($M$110="x",1)+IF($M$111="x",2)+IF($M$112="x",4)+IF($M$108="x",1)-IF($M$109="x",1)-IF($M$99="x",1)+IF($M$90="x",1)
&amp;"/"&amp;SUM($C$3,$I$2)-$C$120+IF($C$75="x",2)+$I$16-$B$10+$M$94+IF($C$77="x",2)-IF($C$78="x",4)-IF($I$78="x",1)-IF($C$79="x",4)+IF($C$80="x",1)-IF($I$77="x",2)-IF($I$90="x",2)+IF($I$83="x",2)-IF($C$83="x",4)-$C$112-15+IF(H747="x",1)+IF(H393="x",1)+I393+$M$77+IF(H395="x",1)+IF(J395="x",1)+IF($M$76="x",2)+J393+IF($M$85="x",1)+IF($M$113="x",1)+IF($M$120="x",2)+IF($M$119="x",2)+IF($M$105="x",1)+IF($M$110="x",1)+IF($M$111="x",2)+IF($M$112="x",4)+IF($M$108="x",1)-IF($M$109="x",1)-IF($M$99="x",1)+IF($M$90="x",1))))))</f>
        <v>0</v>
      </c>
      <c r="C393" s="66" t="str">
        <f>_xlfn.IFS($C$7="Minimaalinen","1n2",$C$7="Taskukokoinen","1n3",$C$7="Hyvin pieni","1n4",$C$7="Pieni","1n6",$C$7="Keskikokoinen","1n8",$C$7="Iso","2n6",$C$7="Valtava","3n6",$C$7="Suunnaton","4n6",$C$7="Giganttinen","6n6")</f>
        <v>1n8</v>
      </c>
      <c r="D393" s="97">
        <f>SUM($I$2+$C$120)+I393+$M$77+IF(I395="x",2)+IF(K395="x",2)+IF($M$119="x",2)+IF($M$108="x",1)+$M$94-IF($M$109="x",1)+K393</f>
        <v>0</v>
      </c>
      <c r="E393" s="66" t="str">
        <f>_xlfn.IFS($C$7="Minimaalinen","2n2",$C$7="Taskukokoinen","2n3",$C$7="Hyvin pieni","2n4",$C$7="Pieni","2n6",$C$7="Keskikokoinen","2n8",$C$7="Iso","4n6",$C$7="Valtava","6n6",$C$7="Suunnaton","8n6",$C$7="Giganttinen","12n6")</f>
        <v>2n8</v>
      </c>
      <c r="F393" s="98">
        <f>SUM(D393*2)</f>
        <v>0</v>
      </c>
      <c r="G393" s="98" t="str">
        <f>(IF($I$89="x","50 %","")&amp;(IF($C$81="x","20 %",""))&amp;(IF($C$82="x","50 %","")))</f>
        <v/>
      </c>
      <c r="H393" s="28"/>
      <c r="I393" s="17">
        <v>0</v>
      </c>
      <c r="J393" s="17">
        <v>0</v>
      </c>
      <c r="K393" s="17">
        <v>0</v>
      </c>
      <c r="AB393" s="46"/>
      <c r="AC393" s="48"/>
      <c r="AD393" s="48"/>
      <c r="AE393" s="48"/>
      <c r="AF393" s="48"/>
      <c r="AG393" s="48"/>
      <c r="AH393" s="48"/>
      <c r="AI393" s="48"/>
      <c r="AJ393" s="48"/>
      <c r="AK393" s="48"/>
      <c r="AL393" s="48"/>
    </row>
    <row r="394" spans="1:38" x14ac:dyDescent="0.2">
      <c r="A394" s="58" t="s">
        <v>8</v>
      </c>
      <c r="B394" s="119">
        <f>IF($I$85="x","PAINISSA",IF($C$3&lt;=5,SUM($C$3,$I$2)-$C$120+IF($C$75="x",2)+$I$16-$B$10+$M$94+IF($C$77="x",2)-IF($C$78="x",4)-IF($I$78="x",1)-IF($C$79="x",4)+IF($C$80="x",1)-IF($I$77="x",2)-IF($I$90="x",2)+IF($I$83="x",2)-IF($C$75="x",4)-$C$112+IF(H393="x",1)+I393+$M$77+IF(H395="x",1)+IF(J395="x",1)+IF($M$76="x",2)+J393+IF($M$85="x",1)+IF($M$113="x",1)+IF($M$120="x",2)+IF($M$119="x",2)+IF($M$105="x",1)+IF($M$110="x",1)+IF($M$111="x",2)+IF($M$112="x",4)+IF($M$108="x",1)-IF($M$109="x",1)-IF($M$99="x",1)+IF($M$90="x",1),
IF(AND($C$3&gt;5,$C$3&lt;11),SUM($C$3,$I$2)-$C$120+IF($C$75="x",2)+$I$16-$B$10+$M$94+IF($C$77="x",2)-IF($C$78="x",4)-IF($I$78="x",1)-IF($C$79="x",4)+IF($C$80="x",1)-IF($I$77="x",2)-IF($I$90="x",2)+IF($I$83="x",2)-IF($C$83="x",4)-$C$112+IF(H393="x",1)+I393+$M$77+IF(H395="x",1)+IF(J395="x",1)+IF($M$76="x",2)+J393+IF($M$85="x",1)+IF($M$113="x",1)+IF($M$120="x",2)+IF($M$119="x",2)+IF($M$105="x",1)+IF($M$110="x",1)+IF($M$111="x",2)+IF($M$112="x",4)+IF($M$108="x",1)-IF($M$109="x",1)-IF($M$99="x",1)+IF($M$90="x",1)
&amp;"/"&amp;SUM($C$3,$I$2)-$C$120+IF($C$75="x",2)+$I$16-$B$10+$M$94+IF($C$77="x",2)-IF($C$78="x",4)-IF($I$78="x",1)-IF($C$79="x",4)+IF($C$80="x",1)-IF($I$77="x",2)-IF($I$90="x",2)+IF($I$83="x",2)-IF($C$83="x",4)-$C$112-5+IF(H393="x",1)+I393+$M$77+IF(H395="x",1)+IF(J395="x",1)+IF($M$76="x",2)+J393+IF($M$85="x",1)+IF($M$113="x",1)+IF($M$120="x",2)+IF($M$119="x",2)+IF($M$105="x",1)+IF($M$110="x",1)+IF($M$111="x",2)+IF($M$112="x",4)+IF($M$108="x",1)-IF($M$109="x",1)-IF($M$99="x",1)+IF($M$90="x",1),
IF(AND($C$3&gt;10,$C$3&lt;16),SUM($C$3,$I$2)-$C$120+IF($C$75="x",2)+$I$16-$B$10+$M$94+IF($C$77="x",2)-IF($C$78="x",4)-IF($I$78="x",1)-IF($C$79="x",4)+IF($C$80="x",1)-IF($I$77="x",2)-IF($I$90="x",2)+IF($I$83="x",2)-IF($C$83="x",4)-$C$112+IF(H393="x",1)+I393+$M$77+IF(H395="x",1)+IF(J395="x",1)+IF($M$76="x",2)+J393+IF($M$85="x",1)+IF($M$113="x",1)+IF($M$120="x",2)+IF($M$119="x",2)+IF($M$105="x",1)+IF($M$110="x",1)+IF($M$111="x",2)+IF($M$112="x",4)+IF($M$108="x",1)-IF($M$109="x",1)+IF($M$99="x",20)-IF($M$99="x",1)+IF($M$90="x",1)
&amp;"/"&amp;SUM($C$3,$I$2)-$C$120+IF($C$75="x",2)+$I$16-$B$10+$M$94+IF($C$77="x",2)-IF($C$78="x",4)-IF($I$78="x",1)-IF($C$79="x",4)+IF($C$80="x",1)-IF($I$77="x",2)-IF($I$90="x",2)+IF($I$83="x",2)-IF($C$83="x",4)-$C$112-5+IF(H747="x",1)+IF(H393="x",1)+I393+$M$77+IF(H395="x",1)+IF(J395="x",1)+IF($M$76="x",2)+J393+IF($M$85="x",1)+IF($M$113="x",1)+IF($M$120="x",2)+IF($M$119="x",2)+IF($M$105="x",1)+IF($M$110="x",1)+IF($M$111="x",2)+IF($M$112="x",4)+IF($M$108="x",1)-IF($M$109="x",1)-IF($M$99="x",1)+IF($M$90="x",1)
&amp;"/"&amp;SUM($C$3,$I$2)-$C$120+IF($C$75="x",2)+$I$16-$B$10+$M$94+IF($C$77="x",2)-IF($C$78="x",4)-IF($I$78="x",1)-IF($C$79="x",4)+IF($C$80="x",1)-IF($I$77="x",2)-IF($I$90="x",2)+IF($I$83="x",2)-IF($C$83="x",4)-$C$112-10+IF(H747="x",1)+IF(H393="x",1)+I393+$M$77+IF(H395="x",1)+IF(J395="x",1)+IF($M$76="x",2)+J393+IF($M$85="x",1)+IF($M$113="x",1)+IF($M$120="x",2)+IF($M$119="x",2)+IF($M$105="x",1)+IF($M$110="x",1)+IF($M$111="x",2)+IF($M$112="x",4)+IF($M$108="x",1)-IF($M$109="x",1)-IF($M$99="x",1)+IF($M$90="x",1),
IF(AND($C$3&gt;15),SUM($C$3,$I$2)-$C$120+IF($C$75="x",2)+$I$16-$B$10+$M$94+IF($C$77="x",2)-IF($C$78="x",4)-IF($I$78="x",1)-IF($C$79="x",4)+IF($C$80="x",1)-IF($I$77="x",2)-IF($I$90="x",2)+IF($I$83="x",2)-IF($C$83="x",4)-$C$112+IF(H393="x",1)+I393+$M$77+IF(H395="x",1)+IF(J395="x",1)+IF($M$76="x",2)+J393+IF($M$85="x",1)+IF($M$113="x",1)+IF($M$120="x",2)+IF($M$119="x",2)+IF($M$105="x",1)+IF($M$110="x",1)+IF($M$111="x",2)+IF($M$112="x",4)+IF($M$108="x",1)-IF($M$109="x",1)-IF($M$99="x",1)+IF($M$90="x",1)
&amp;"/"&amp;SUM($C$3,$I$2)-$C$120+IF($C$75="x",2)+$I$16-$B$10+$M$94+IF($C$77="x",2)-IF($C$78="x",4)-IF($I$78="x",1)-IF($C$79="x",4)+IF($C$80="x",1)-IF($I$77="x",2)-IF($I$90="x",2)+IF($I$83="x",2)-IF($C$83="x",4)-$C$112-5+IF(H747="x",1)+IF(H393="x",1)+I393+$M$77+IF(H395="x",1)+IF(J395="x",1)+IF($M$76="x",2)+J393+IF($M$85="x",1)+IF($M$113="x",1)+IF($M$120="x",2)+IF($M$119="x",2)+IF($M$105="x",1)+IF($M$110="x",1)+IF($M$111="x",2)+IF($M$112="x",4)+IF($M$108="x",1)-IF($M$109="x",1)-IF($M$99="x",1)+IF($M$90="x",1)
&amp;"/"&amp;SUM($C$3,$I$2)-$C$120+IF($C$75="x",2)+$I$16-$B$10+$M$94+IF($C$77="x",2)-IF($C$78="x",4)-IF($I$78="x",1)-IF($C$79="x",4)+IF($C$80="x",1)-IF($I$77="x",2)-IF($I$90="x",2)+IF($I$83="x",2)-IF($C$83="x",4)-$C$112-10+IF(H747="x",1)+IF(H393="x",1)+I393+$M$77+IF(H395="x",1)+IF(J395="x",1)+IF($M$76="x",2)+J393+IF($M$85="x",1)+IF($M$113="x",1)+IF($M$120="x",2)+IF($M$119="x",2)+IF($M$105="x",1)+IF($M$110="x",1)+IF($M$111="x",2)+IF($M$112="x",4)+IF($M$108="x",1)-IF($M$109="x",1)-IF($M$99="x",1)+IF($M$90="x",1)
&amp;"/"&amp;SUM($C$3,$I$2)-$C$120+IF($C$75="x",2)+$I$16-$B$10+$M$94+IF($C$77="x",2)-IF($C$78="x",4)-IF($I$78="x",1)-IF($C$79="x",4)+IF($C$80="x",1)-IF($I$77="x",2)-IF($I$90="x",2)+IF($I$83="x",2)-IF($C$83="x",4)-$C$112-15+IF(H747="x",1)+IF(H393="x",1)+I393+$M$77+IF(H395="x",1)+IF(J395="x",1)+IF($M$76="x",2)+J393+IF($M$85="x",1)+IF($M$113="x",1)+IF($M$120="x",2)+IF($M$119="x",2)+IF($M$105="x",1)+IF($M$110="x",1)+IF($M$111="x",2)+IF($M$112="x",4)+IF($M$108="x",1)-IF($M$109="x",1)-IF($M$99="x",1)+IF($M$90="x",1))))))</f>
        <v>0</v>
      </c>
      <c r="C394" s="114" t="str">
        <f>_xlfn.IFS($C$7="Minimaalinen","1n2",$C$7="Taskukokoinen","1n3",$C$7="Hyvin pieni","1n4",$C$7="Pieni","1n6",$C$7="Keskikokoinen","1n8",$C$7="Iso","2n6",$C$7="Valtava","3n6",$C$7="Suunnaton","4n6",$C$7="Giganttinen","6n6")</f>
        <v>1n8</v>
      </c>
      <c r="D394" s="119">
        <f>IF($I$2&lt;0,$I$2,INT($I$2*1.5))+($C$120*2)+I393+$M$77+IF(I395="x",2)+IF(K395="x",2)+IF($M$119="x",2)+IF($M$108="x",1)+$M$94-IF($M$109="x",1)+K393</f>
        <v>0</v>
      </c>
      <c r="E394" s="114" t="str">
        <f>_xlfn.IFS($C$7="Minimaalinen","2n2",$C$7="Taskukokoinen","2n3",$C$7="Hyvin pieni","2n4",$C$7="Pieni","2n6",$C$7="Keskikokoinen","2n8",$C$7="Iso","4n6",$C$7="Valtava","6n6",$C$7="Suunnaton","8n6",$C$7="Giganttinen","12n6")</f>
        <v>2n8</v>
      </c>
      <c r="F394" s="120">
        <f>SUM(D394*2)</f>
        <v>0</v>
      </c>
      <c r="G394" s="120" t="str">
        <f>(IF($I$89="x","50 %","")&amp;(IF($C$81="x","20 %",""))&amp;(IF($C$82="x","50 %","")))</f>
        <v/>
      </c>
      <c r="H394" s="14" t="s">
        <v>220</v>
      </c>
      <c r="I394" s="14" t="s">
        <v>221</v>
      </c>
      <c r="J394" s="14" t="s">
        <v>222</v>
      </c>
      <c r="K394" s="14" t="s">
        <v>223</v>
      </c>
      <c r="AC394" s="41"/>
      <c r="AD394" s="49"/>
      <c r="AE394" s="41"/>
      <c r="AF394" s="49"/>
      <c r="AG394" s="40"/>
      <c r="AH394" s="40"/>
      <c r="AI394" s="40"/>
      <c r="AJ394" s="40"/>
      <c r="AK394" s="40"/>
      <c r="AL394" s="40"/>
    </row>
    <row r="395" spans="1:38" x14ac:dyDescent="0.2">
      <c r="A395" s="25" t="s">
        <v>438</v>
      </c>
      <c r="B395" s="121">
        <f>IF($I$85="x","PAINISSA",IF($C$3&lt;=5,SUM($C$3,$I$2)-$C$120+IF($C$75="x",2)+$I$16-$B$10+$M$94+IF($C$77="x",2)-IF($C$78="x",4)-IF($I$78="x",1)-IF($C$79="x",4)+IF($C$80="x",1)-IF($I$77="x",2)-IF($I$90="x",2)+IF($I$83="x",2)-IF($C$75="x",4)-$C$112+IF(H393="x",1)+I393+$M$77+IF(H395="x",1)+IF(J395="x",1)+IF($M$76="x",2)+J393+IF($M$85="x",1)+IF($M$113="x",1)+IF($M$120="x",2)+IF($M$119="x",2)+IF($M$105="x",1)+IF($M$110="x",1)+IF($M$111="x",2)+IF($M$112="x",4)+IF($M$108="x",1)-IF($M$109="x",1)-IF($M$99="x",1)+IF($M$90="x",1)-IF($C$97="x",2,4),
IF(AND($C$3&gt;5,$C$3&lt;11),SUM($C$3,$I$2)-$C$120+IF($C$75="x",2)+$I$16-$B$10+$M$94+IF($C$77="x",2)-IF($C$78="x",4)-IF($I$78="x",1)-IF($C$79="x",4)+IF($C$80="x",1)-IF($I$77="x",2)-IF($I$90="x",2)+IF($I$83="x",2)-IF($C$83="x",4)-$C$112+IF(H393="x",1)+I393+$M$77+IF(H395="x",1)+IF(J395="x",1)+IF($M$76="x",2)+J393+IF($M$85="x",1)+IF($M$113="x",1)+IF($M$120="x",2)+IF($M$119="x",2)+IF($M$105="x",1)+IF($M$110="x",1)+IF($M$111="x",2)+IF($M$112="x",4)+IF($M$108="x",1)-IF($M$109="x",1)-IF($M$99="x",1)+IF($M$90="x",1)-IF($C$97="x",2,4)
&amp;"/"&amp;SUM($C$3,$I$2)-$C$120+IF($C$75="x",2)+$I$16-$B$10+$M$94+IF($C$77="x",2)-IF($C$78="x",4)-IF($I$78="x",1)-IF($C$79="x",4)+IF($C$80="x",1)-IF($I$77="x",2)-IF($I$90="x",2)+IF($I$83="x",2)-IF($C$83="x",4)-$C$112-5+IF(H393="x",1)+I393+$M$77+IF(H395="x",1)+IF(J395="x",1)+IF($M$76="x",2)+J393+IF($M$85="x",1)+IF($M$113="x",1)+IF($M$120="x",2)+IF($M$119="x",2)+IF($M$105="x",1)+IF($M$110="x",1)+IF($M$111="x",2)+IF($M$112="x",4)+IF($M$108="x",1)-IF($M$109="x",1)-IF($M$99="x",1)+IF($M$90="x",1)-IF($C$97="x",2,4),
IF(AND($C$3&gt;10,$C$3&lt;16),SUM($C$3,$I$2)-$C$120+IF($C$75="x",2)+$I$16-$B$10+$M$94+IF($C$77="x",2)-IF($C$78="x",4)-IF($I$78="x",1)-IF($C$79="x",4)+IF($C$80="x",1)-IF($I$77="x",2)-IF($I$90="x",2)+IF($I$83="x",2)-IF($C$83="x",4)-$C$112+IF(H393="x",1)+I393+$M$77+IF(H395="x",1)+IF(J395="x",1)+IF($M$76="x",2)+J393+IF($M$85="x",1)+IF($M$113="x",1)+IF($M$120="x",2)+IF($M$119="x",2)+IF($M$105="x",1)+IF($M$110="x",1)+IF($M$111="x",2)+IF($M$112="x",4)+IF($M$108="x",1)-IF($M$109="x",1)+IF($M$99="x",20)-IF($M$99="x",1)+IF($M$90="x",1)-IF($C$97="x",2,4)
&amp;"/"&amp;SUM($C$3,$I$2)-$C$120+IF($C$75="x",2)+$I$16-$B$10+$M$94+IF($C$77="x",2)-IF($C$78="x",4)-IF($I$78="x",1)-IF($C$79="x",4)+IF($C$80="x",1)-IF($I$77="x",2)-IF($I$90="x",2)+IF($I$83="x",2)-IF($C$83="x",4)-$C$112-5+IF(H747="x",1)+IF(H393="x",1)+I393+$M$77+IF(H395="x",1)+IF(J395="x",1)+IF($M$76="x",2)+J393+IF($M$85="x",1)+IF($M$113="x",1)+IF($M$120="x",2)+IF($M$119="x",2)+IF($M$105="x",1)+IF($M$110="x",1)+IF($M$111="x",2)+IF($M$112="x",4)+IF($M$108="x",1)-IF($M$109="x",1)-IF($M$99="x",1)+IF($M$90="x",1)-IF($C$97="x",2,4)
&amp;"/"&amp;SUM($C$3,$I$2)-$C$120+IF($C$75="x",2)+$I$16-$B$10+$M$94+IF($C$77="x",2)-IF($C$78="x",4)-IF($I$78="x",1)-IF($C$79="x",4)+IF($C$80="x",1)-IF($I$77="x",2)-IF($I$90="x",2)+IF($I$83="x",2)-IF($C$83="x",4)-$C$112-10+IF(H747="x",1)+IF(H393="x",1)+I393+$M$77+IF(H395="x",1)+IF(J395="x",1)+IF($M$76="x",2)+J393+IF($M$85="x",1)+IF($M$113="x",1)+IF($M$120="x",2)+IF($M$119="x",2)+IF($M$105="x",1)+IF($M$110="x",1)+IF($M$111="x",2)+IF($M$112="x",4)+IF($M$108="x",1)-IF($M$109="x",1)-IF($M$99="x",1)+IF($M$90="x",1)-IF($C$97="x",2,4),
IF(AND($C$3&gt;15),SUM($C$3,$I$2)-$C$120+IF($C$75="x",2)+$I$16-$B$10+$M$94+IF($C$77="x",2)-IF($C$78="x",4)-IF($I$78="x",1)-IF($C$79="x",4)+IF($C$80="x",1)-IF($I$77="x",2)-IF($I$90="x",2)+IF($I$83="x",2)-IF($C$83="x",4)-$C$112+IF(H393="x",1)+I393+$M$77+IF(H395="x",1)+IF(J395="x",1)+IF($M$76="x",2)+J393+IF($M$85="x",1)+IF($M$113="x",1)+IF($M$120="x",2)+IF($M$119="x",2)+IF($M$105="x",1)+IF($M$110="x",1)+IF($M$111="x",2)+IF($M$112="x",4)+IF($M$108="x",1)-IF($M$109="x",1)-IF($M$99="x",1)+IF($M$90="x",1)-IF($C$97="x",2,4)
&amp;"/"&amp;SUM($C$3,$I$2)-$C$120+IF($C$75="x",2)+$I$16-$B$10+$M$94+IF($C$77="x",2)-IF($C$78="x",4)-IF($I$78="x",1)-IF($C$79="x",4)+IF($C$80="x",1)-IF($I$77="x",2)-IF($I$90="x",2)+IF($I$83="x",2)-IF($C$83="x",4)-$C$112-5+IF(H747="x",1)+IF(H393="x",1)+I393+$M$77+IF(H395="x",1)+IF(J395="x",1)+IF($M$76="x",2)+J393+IF($M$85="x",1)+IF($M$113="x",1)+IF($M$120="x",2)+IF($M$119="x",2)+IF($M$105="x",1)+IF($M$110="x",1)+IF($M$111="x",2)+IF($M$112="x",4)+IF($M$108="x",1)-IF($M$109="x",1)-IF($M$99="x",1)+IF($M$90="x",1)-IF($C$97="x",2,4)
&amp;"/"&amp;SUM($C$3,$I$2)-$C$120+IF($C$75="x",2)+$I$16-$B$10+$M$94+IF($C$77="x",2)-IF($C$78="x",4)-IF($I$78="x",1)-IF($C$79="x",4)+IF($C$80="x",1)-IF($I$77="x",2)-IF($I$90="x",2)+IF($I$83="x",2)-IF($C$83="x",4)-$C$112-10+IF(H747="x",1)+IF(H393="x",1)+I393+$M$77+IF(H395="x",1)+IF(J395="x",1)+IF($M$76="x",2)+J393+IF($M$85="x",1)+IF($M$113="x",1)+IF($M$120="x",2)+IF($M$119="x",2)+IF($M$105="x",1)+IF($M$110="x",1)+IF($M$111="x",2)+IF($M$112="x",4)+IF($M$108="x",1)-IF($M$109="x",1)-IF($M$99="x",1)+IF($M$90="x",1)-IF($C$97="x",2,4)
&amp;"/"&amp;SUM($C$3,$I$2)-$C$120+IF($C$75="x",2)+$I$16-$B$10+$M$94+IF($C$77="x",2)-IF($C$78="x",4)-IF($I$78="x",1)-IF($C$79="x",4)+IF($C$80="x",1)-IF($I$77="x",2)-IF($I$90="x",2)+IF($I$83="x",2)-IF($C$83="x",4)-$C$112-15+IF(H747="x",1)+IF(H393="x",1)+I393+$M$77+IF(H395="x",1)+IF(J395="x",1)+IF($M$76="x",2)+J393+IF($M$85="x",1)+IF($M$113="x",1)+IF($M$120="x",2)+IF($M$119="x",2)+IF($M$105="x",1)+IF($M$110="x",1)+IF($M$111="x",2)+IF($M$112="x",4)+IF($M$108="x",1)-IF($M$109="x",1)-IF($M$99="x",1)+IF($M$90="x",1)-IF($C$97="x",2,4))))))</f>
        <v>-4</v>
      </c>
      <c r="C395" s="49" t="str">
        <f>_xlfn.IFS($C$7="Minimaalinen","1n2",$C$7="Taskukokoinen","1n3",$C$7="Hyvin pieni","1n4",$C$7="Pieni","1n6",$C$7="Keskikokoinen","1n8",$C$7="Iso","2n6",$C$7="Valtava","3n6",$C$7="Suunnaton","4n6",$C$7="Giganttinen","6n6")</f>
        <v>1n8</v>
      </c>
      <c r="D395" s="121">
        <f>SUM($I$2+$C$120)+I393+$M$77+IF(I395="x",2)+IF(K395="x",2)+IF($M$119="x",2)+IF($M$108="x",1)+$M$94-IF($M$109="x",1)+K393</f>
        <v>0</v>
      </c>
      <c r="E395" s="49" t="str">
        <f>_xlfn.IFS($C$7="Minimaalinen","2n2",$C$7="Taskukokoinen","2n3",$C$7="Hyvin pieni","2n4",$C$7="Pieni","2n6",$C$7="Keskikokoinen","2n8",$C$7="Iso","4n6",$C$7="Valtava","6n6",$C$7="Suunnaton","8n6",$C$7="Giganttinen","12n6")</f>
        <v>2n8</v>
      </c>
      <c r="F395" s="82">
        <f>SUM(D395*2)</f>
        <v>0</v>
      </c>
      <c r="G395" s="82" t="str">
        <f>(IF($I$89="x","50 %","")&amp;(IF($C$81="x","20 %",""))&amp;(IF($C$82="x","50 %","")))</f>
        <v/>
      </c>
      <c r="H395" s="28"/>
      <c r="I395" s="28"/>
      <c r="J395" s="28"/>
      <c r="K395" s="28"/>
      <c r="AB395" s="50"/>
      <c r="AC395" s="51"/>
      <c r="AD395" s="49"/>
      <c r="AE395" s="51"/>
      <c r="AF395" s="49"/>
      <c r="AG395" s="49"/>
      <c r="AH395" s="49"/>
      <c r="AI395" s="48"/>
      <c r="AJ395" s="48"/>
      <c r="AK395" s="48"/>
      <c r="AL395" s="48"/>
    </row>
    <row r="396" spans="1:38" x14ac:dyDescent="0.2">
      <c r="A396" s="25" t="s">
        <v>437</v>
      </c>
      <c r="B396" s="82">
        <f>IF($I$85="x","PAINISSA",IF($C$3&lt;=5,SUM($C$3,$I$2)-$C$120+IF($C$75="x",2)+$I$16-$B$10+$M$94+IF($C$77="x",2)-IF($C$78="x",4)-IF($I$78="x",1)-IF($C$79="x",4)+IF($C$80="x",1)-IF($I$77="x",2)-IF($I$90="x",2)+IF($I$83="x",2)-IF($C$75="x",4)-$C$112+IF(H393="x",1)+I393+$M$77+IF(H395="x",1)+IF(J395="x",1)+IF($M$76="x",2)+J393+IF($M$85="x",1)+IF($M$113="x",1)+IF($M$120="x",2)+IF($M$119="x",2)+IF($M$105="x",1)+IF($M$110="x",1)+IF($M$111="x",2)+IF($M$112="x",4)+IF($M$108="x",1)-IF($M$109="x",1)-IF($M$99="x",1)+IF($M$90="x",1)-IF($C$97="x",4,6),
IF(AND($C$3&gt;5,$C$3&lt;11),SUM($C$3,$I$2)-$C$120+IF($C$75="x",2)+$I$16-$B$10+$M$94+IF($C$77="x",2)-IF($C$78="x",4)-IF($I$78="x",1)-IF($C$79="x",4)+IF($C$80="x",1)-IF($I$77="x",2)-IF($I$90="x",2)+IF($I$83="x",2)-IF($C$83="x",4)-$C$112+IF(H393="x",1)+I393+$M$77+IF(H395="x",1)+IF(J395="x",1)+IF($M$76="x",2)+J393+IF($M$85="x",1)+IF($M$113="x",1)+IF($M$120="x",2)+IF($M$119="x",2)+IF($M$105="x",1)+IF($M$110="x",1)+IF($M$111="x",2)+IF($M$112="x",4)+IF($M$108="x",1)-IF($M$109="x",1)-IF($M$99="x",1)+IF($M$90="x",1)-IF($C$97="x",4,6)
&amp;"/"&amp;SUM($C$3,$I$2)-$C$120+IF($C$75="x",2)+$I$16-$B$10+$M$94+IF($C$77="x",2)-IF($C$78="x",4)-IF($I$78="x",1)-IF($C$79="x",4)+IF($C$80="x",1)-IF($I$77="x",2)-IF($I$90="x",2)+IF($I$83="x",2)-IF($C$83="x",4)-$C$112-5+IF(H393="x",1)+I393+$M$77+IF(H395="x",1)+IF(J395="x",1)+IF($M$76="x",2)+J393+IF($M$85="x",1)+IF($M$113="x",1)+IF($M$120="x",2)+IF($M$119="x",2)+IF($M$105="x",1)+IF($M$110="x",1)+IF($M$111="x",2)+IF($M$112="x",4)+IF($M$108="x",1)-IF($M$109="x",1)-IF($M$99="x",1)+IF($M$90="x",1)-IF($C$97="x",4,6),
IF(AND($C$3&gt;10,$C$3&lt;16),SUM($C$3,$I$2)-$C$120+IF($C$75="x",2)+$I$16-$B$10+$M$94+IF($C$77="x",2)-IF($C$78="x",4)-IF($I$78="x",1)-IF($C$79="x",4)+IF($C$80="x",1)-IF($I$77="x",2)-IF($I$90="x",2)+IF($I$83="x",2)-IF($C$83="x",4)-$C$112+IF(H393="x",1)+I393+$M$77+IF(H395="x",1)+IF(J395="x",1)+IF($M$76="x",2)+J393+IF($M$85="x",1)+IF($M$113="x",1)+IF($M$120="x",2)+IF($M$119="x",2)+IF($M$105="x",1)+IF($M$110="x",1)+IF($M$111="x",2)+IF($M$112="x",4)+IF($M$108="x",1)-IF($M$109="x",1)+IF($M$99="x",20)-IF($M$99="x",1)+IF($M$90="x",1)-IF($C$97="x",4,6)
&amp;"/"&amp;SUM($C$3,$I$2)-$C$120+IF($C$75="x",2)+$I$16-$B$10+$M$94+IF($C$77="x",2)-IF($C$78="x",4)-IF($I$78="x",1)-IF($C$79="x",4)+IF($C$80="x",1)-IF($I$77="x",2)-IF($I$90="x",2)+IF($I$83="x",2)-IF($C$83="x",4)-$C$112-5+IF(H747="x",1)+IF(H393="x",1)+I393+$M$77+IF(H395="x",1)+IF(J395="x",1)+IF($M$76="x",2)+J393+IF($M$85="x",1)+IF($M$113="x",1)+IF($M$120="x",2)+IF($M$119="x",2)+IF($M$105="x",1)+IF($M$110="x",1)+IF($M$111="x",2)+IF($M$112="x",4)+IF($M$108="x",1)-IF($M$109="x",1)-IF($M$99="x",1)+IF($M$90="x",1)-IF($C$97="x",4,6)
&amp;"/"&amp;SUM($C$3,$I$2)-$C$120+IF($C$75="x",2)+$I$16-$B$10+$M$94+IF($C$77="x",2)-IF($C$78="x",4)-IF($I$78="x",1)-IF($C$79="x",4)+IF($C$80="x",1)-IF($I$77="x",2)-IF($I$90="x",2)+IF($I$83="x",2)-IF($C$83="x",4)-$C$112-10+IF(H747="x",1)+IF(H393="x",1)+I393+$M$77+IF(H395="x",1)+IF(J395="x",1)+IF($M$76="x",2)+J393+IF($M$85="x",1)+IF($M$113="x",1)+IF($M$120="x",2)+IF($M$119="x",2)+IF($M$105="x",1)+IF($M$110="x",1)+IF($M$111="x",2)+IF($M$112="x",4)+IF($M$108="x",1)-IF($M$109="x",1)-IF($M$99="x",1)+IF($M$90="x",1)-IF($C$97="x",4,6),
IF(AND($C$3&gt;15),SUM($C$3,$I$2)-$C$120+IF($C$75="x",2)+$I$16-$B$10+$M$94+IF($C$77="x",2)-IF($C$78="x",4)-IF($I$78="x",1)-IF($C$79="x",4)+IF($C$80="x",1)-IF($I$77="x",2)-IF($I$90="x",2)+IF($I$83="x",2)-IF($C$83="x",4)-$C$112+IF(H393="x",1)+I393+$M$77+IF(H395="x",1)+IF(J395="x",1)+IF($M$76="x",2)+J393+IF($M$85="x",1)+IF($M$113="x",1)+IF($M$120="x",2)+IF($M$119="x",2)+IF($M$105="x",1)+IF($M$110="x",1)+IF($M$111="x",2)+IF($M$112="x",4)+IF($M$108="x",1)-IF($M$109="x",1)-IF($M$99="x",1)+IF($M$90="x",1)-IF($C$97="x",4,6)
&amp;"/"&amp;SUM($C$3,$I$2)-$C$120+IF($C$75="x",2)+$I$16-$B$10+$M$94+IF($C$77="x",2)-IF($C$78="x",4)-IF($I$78="x",1)-IF($C$79="x",4)+IF($C$80="x",1)-IF($I$77="x",2)-IF($I$90="x",2)+IF($I$83="x",2)-IF($C$83="x",4)-$C$112-5+IF(H747="x",1)+IF(H393="x",1)+I393+$M$77+IF(H395="x",1)+IF(J395="x",1)+IF($M$76="x",2)+J393+IF($M$85="x",1)+IF($M$113="x",1)+IF($M$120="x",2)+IF($M$119="x",2)+IF($M$105="x",1)+IF($M$110="x",1)+IF($M$111="x",2)+IF($M$112="x",4)+IF($M$108="x",1)-IF($M$109="x",1)-IF($M$99="x",1)+IF($M$90="x",1)-IF($C$97="x",4,6)
&amp;"/"&amp;SUM($C$3,$I$2)-$C$120+IF($C$75="x",2)+$I$16-$B$10+$M$94+IF($C$77="x",2)-IF($C$78="x",4)-IF($I$78="x",1)-IF($C$79="x",4)+IF($C$80="x",1)-IF($I$77="x",2)-IF($I$90="x",2)+IF($I$83="x",2)-IF($C$83="x",4)-$C$112-10+IF(H747="x",1)+IF(H393="x",1)+I393+$M$77+IF(H395="x",1)+IF(J395="x",1)+IF($M$76="x",2)+J393+IF($M$85="x",1)+IF($M$113="x",1)+IF($M$120="x",2)+IF($M$119="x",2)+IF($M$105="x",1)+IF($M$110="x",1)+IF($M$111="x",2)+IF($M$112="x",4)+IF($M$108="x",1)-IF($M$109="x",1)-IF($M$99="x",1)+IF($M$90="x",1)-IF($C$97="x",4,6)
&amp;"/"&amp;SUM($C$3,$I$2)-$C$120+IF($C$75="x",2)+$I$16-$B$10+$M$94+IF($C$77="x",2)-IF($C$78="x",4)-IF($I$78="x",1)-IF($C$79="x",4)+IF($C$80="x",1)-IF($I$77="x",2)-IF($I$90="x",2)+IF($I$83="x",2)-IF($C$83="x",4)-$C$112-15+IF(H747="x",1)+IF(H393="x",1)+I393+$M$77+IF(H395="x",1)+IF(J395="x",1)+IF($M$76="x",2)+J393+IF($M$85="x",1)+IF($M$113="x",1)+IF($M$120="x",2)+IF($M$119="x",2)+IF($M$105="x",1)+IF($M$110="x",1)+IF($M$111="x",2)+IF($M$112="x",4)+IF($M$108="x",1)-IF($M$109="x",1)-IF($M$99="x",1)+IF($M$90="x",1)-IF($C$97="x",4,6))))))</f>
        <v>-6</v>
      </c>
      <c r="C396" s="49" t="str">
        <f>_xlfn.IFS($C$7="Minimaalinen","1n2",$C$7="Taskukokoinen","1n3",$C$7="Hyvin pieni","1n4",$C$7="Pieni","1n6",$C$7="Keskikokoinen","1n8",$C$7="Iso","2n6",$C$7="Valtava","3n6",$C$7="Suunnaton","4n6",$C$7="Giganttinen","6n6")</f>
        <v>1n8</v>
      </c>
      <c r="D396" s="121">
        <f>SUM($I$2+$C$120)+I393+$M$77+IF(I395="x",2)+IF(K395="x",2)+IF($M$119="x",2)+IF($M$108="x",1)+$M$94-IF($M$109="x",1)+K393</f>
        <v>0</v>
      </c>
      <c r="E396" s="49" t="str">
        <f>_xlfn.IFS($C$7="Minimaalinen","2n2",$C$7="Taskukokoinen","2n3",$C$7="Hyvin pieni","2n4",$C$7="Pieni","2n6",$C$7="Keskikokoinen","2n8",$C$7="Iso","4n6",$C$7="Valtava","6n6",$C$7="Suunnaton","8n6",$C$7="Giganttinen","12n6")</f>
        <v>2n8</v>
      </c>
      <c r="F396" s="82">
        <f>SUM(D396*2)</f>
        <v>0</v>
      </c>
      <c r="G396" s="82" t="str">
        <f>(IF($I$89="x","50 %","")&amp;(IF($C$81="x","20 %",""))&amp;(IF($C$82="x","50 %","")))</f>
        <v/>
      </c>
      <c r="H396" s="11"/>
      <c r="I396" s="15"/>
      <c r="AB396" s="52"/>
      <c r="AC396" s="53"/>
      <c r="AD396" s="54"/>
      <c r="AE396" s="53"/>
      <c r="AF396" s="54"/>
      <c r="AG396" s="54"/>
      <c r="AH396" s="53"/>
      <c r="AI396" s="40"/>
      <c r="AJ396" s="40"/>
      <c r="AK396" s="40"/>
      <c r="AL396" s="40"/>
    </row>
    <row r="397" spans="1:38" x14ac:dyDescent="0.2">
      <c r="A397" s="122" t="s">
        <v>436</v>
      </c>
      <c r="B397" s="123">
        <f>IF($I$85="x","PAINISSA",IF(AND($C$90="",$C$118=""),SUM($C$3,$I$2)-$C$120+IF($C$75="x",2)+$I$16-$B$10+$M$94+IF($C$77="x",2)-IF($C$78="x",4)-IF($I$78="x",1)-IF($C$79="x",4)+IF($C$80="x",1)-IF($I$77="x",2)-IF($I$90="x",2)+IF($I$83="x",2)-IF($C$75="x",4)-$C$112+IF(H393="x",1)+I393+$M$77+IF(H395="x",1)+IF(J395="x",1)+IF($M$76="x",2)+J393+IF($M$85="x",1)+IF($M$113="x",1)+IF($M$120="x",2)+IF($M$119="x",2)+IF($M$105="x",1)+IF($M$110="x",1)+IF($M$111="x",2)+IF($M$112="x",4)+IF($M$108="x",1)-IF($M$109="x",1)-IF($M$99="x",1)+IF($M$90="x",1)-IF($C$97="x",4,10),
IF(AND($C$90="x",$C$118=""),SUM($C$3,$I$2)-$C$120+IF($C$75="x",2)+$I$16-$B$10+$M$94+IF($C$77="x",2)-IF($C$78="x",4)-IF($I$78="x",1)-IF($C$79="x",4)+IF($C$80="x",1)-IF($I$77="x",2)-IF($I$90="x",2)+IF($I$83="x",2)-IF($C$83="x",4)-$C$112+IF(H393="x",1)+I393+$M$77+IF(H395="x",1)+IF(J395="x",1)+IF($M$76="x",2)+J393+IF($M$85="x",1)+IF($M$113="x",1)+IF($M$120="x",2)+IF($M$119="x",2)+IF($M$105="x",1)+IF($M$110="x",1)+IF($M$111="x",2)+IF($M$112="x",4)+IF($M$108="x",1)-IF($M$109="x",1)-IF($M$99="x",1)+IF($M$90="x",1)-IF($C$97="x",4,10)
&amp;"/"&amp;SUM($C$3,$I$2)-$C$120+IF($C$75="x",2)+$I$16-$B$10+$M$94+IF($C$77="x",2)-IF($C$78="x",4)-IF($I$78="x",1)-IF($C$79="x",4)+IF($C$80="x",1)-IF($I$77="x",2)-IF($I$90="x",2)+IF($I$83="x",2)-IF($C$83="x",4)-$C$112+IF(H393="x",1)+I393+$M$77+IF(H395="x",1)+IF(J395="x",1)+IF($M$76="x",2)+J393+IF($M$85="x",1)+IF($M$113="x",1)+IF($M$120="x",2)+IF($M$119="x",2)+IF($M$105="x",1)+IF($M$110="x",1)+IF($M$111="x",2)+IF($M$112="x",4)+IF($M$108="x",1)-IF($M$109="x",1)-IF($M$99="x",1)+IF($M$90="x",1)-IF($C$97="x",4,10)-5,
IF(AND($C$90="x",$C$118="x"),SUM($C$3,$I$2)-$C$120+IF($C$75="x",2)+$I$16-$B$10+$M$94+IF($C$77="x",2)-IF($C$78="x",4)-IF($I$78="x",1)-IF($C$79="x",4)+IF($C$80="x",1)-IF($I$77="x",2)-IF($I$90="x",2)+IF($I$83="x",2)-IF($C$83="x",4)-$C$112+IF(H393="x",1)+I393+$M$77+IF(H395="x",1)+IF(J395="x",1)+IF($M$76="x",2)+J393+IF($M$85="x",1)+IF($M$113="x",1)+IF($M$120="x",2)+IF($M$119="x",2)+IF($M$105="x",1)+IF($M$110="x",1)+IF($M$111="x",2)+IF($M$112="x",4)+IF($M$108="x",1)-IF($M$109="x",1)+IF($M$99="x",20)-IF($M$99="x",1)+IF($M$90="x",1)-IF($C$97="x",4,10)
&amp;"/"&amp;SUM($C$3,$I$2)-$C$120+IF($C$75="x",2)+$I$16-$B$10+$M$94+IF($C$77="x",2)-IF($C$78="x",4)-IF($I$78="x",1)-IF($C$79="x",4)+IF($C$80="x",1)-IF($I$77="x",2)-IF($I$90="x",2)+IF($I$83="x",2)-IF($C$83="x",4)-$C$112-5+IF(H393="x",1)+I393+$M$77+IF(H395="x",1)+IF(J395="x",1)+IF($M$76="x",2)+J393+IF($M$85="x",1)+IF($M$113="x",1)+IF($M$120="x",2)+IF($M$119="x",2)+IF($M$105="x",1)+IF($M$110="x",1)+IF($M$111="x",2)+IF($M$112="x",4)+IF($M$108="x",1)-IF($M$109="x",1)-IF($M$99="x",1)+IF($M$90="x",1)-IF($C$97="x",4,10)
&amp;"/"&amp;SUM($C$3,$I$2)-$C$120+IF($C$75="x",2)+$I$16-$B$10+$M$94+IF($C$77="x",2)-IF($C$78="x",4)-IF($I$78="x",1)-IF($C$79="x",4)+IF($C$80="x",1)-IF($I$77="x",2)-IF($I$90="x",2)+IF($I$83="x",2)-IF($C$83="x",4)-$C$112-10+IF(H393="x",1)+I393+$M$77+IF(H395="x",1)+IF(J395="x",1)+IF($M$76="x",2)+J393+IF($M$85="x",1)+IF($M$113="x",1)+IF($M$120="x",2)+IF($M$119="x",2)+IF($M$105="x",1)+IF($M$110="x",1)+IF($M$111="x",2)+IF($M$112="x",4)+IF($M$108="x",1)-IF($M$109="x",1)-IF($M$99="x",1)+IF($M$90="x",1)-IF($C$97="x",4,10)))))</f>
        <v>-10</v>
      </c>
      <c r="C397" s="54" t="str">
        <f>_xlfn.IFS($C$7="Minimaalinen","1n2",$C$7="Taskukokoinen","1n3",$C$7="Hyvin pieni","1n4",$C$7="Pieni","1n6",$C$7="Keskikokoinen","1n8",$C$7="Iso","2n6",$C$7="Valtava","3n6",$C$7="Suunnaton","4n6",$C$7="Giganttinen","6n6")</f>
        <v>1n8</v>
      </c>
      <c r="D397" s="123">
        <f>INT($I$2/2)+($C$120)+I393+$M$77+IF(I395="x",2)+IF(K395="x",2)+IF($M$119="x",2)+IF($M$108="x",1)+$M$94+K393-IF($M$109="x",1)</f>
        <v>0</v>
      </c>
      <c r="E397" s="54" t="str">
        <f>_xlfn.IFS($C$7="Minimaalinen","2n2",$C$7="Taskukokoinen","2n3",$C$7="Hyvin pieni","2n4",$C$7="Pieni","2n6",$C$7="Keskikokoinen","2n8",$C$7="Iso","4n6",$C$7="Valtava","6n6",$C$7="Suunnaton","8n6",$C$7="Giganttinen","12n6")</f>
        <v>2n8</v>
      </c>
      <c r="F397" s="124">
        <f>SUM(D397*2)</f>
        <v>0</v>
      </c>
      <c r="G397" s="124" t="str">
        <f>(IF($I$89="x","50 %","")&amp;(IF($C$81="x","20 %",""))&amp;(IF($C$82="x","50 %","")))</f>
        <v/>
      </c>
      <c r="H397" s="40"/>
      <c r="K397" s="82"/>
    </row>
    <row r="398" spans="1:38" x14ac:dyDescent="0.2">
      <c r="A398" s="81"/>
      <c r="B398" s="81"/>
      <c r="C398" s="81"/>
      <c r="D398" s="81"/>
      <c r="E398" s="81"/>
      <c r="F398" s="81"/>
      <c r="G398" s="81"/>
      <c r="H398" s="81"/>
      <c r="I398" s="81"/>
      <c r="J398" s="81"/>
      <c r="K398" s="81"/>
      <c r="L398" s="81"/>
      <c r="M398" s="81"/>
      <c r="N398" s="90"/>
    </row>
    <row r="399" spans="1:38" x14ac:dyDescent="0.2">
      <c r="B399" s="15"/>
      <c r="C399" s="15"/>
      <c r="D399" s="15"/>
      <c r="F399" s="15"/>
      <c r="G399" s="15"/>
      <c r="H399" s="15"/>
      <c r="I399" s="15"/>
      <c r="AB399" s="46"/>
      <c r="AC399" s="48"/>
      <c r="AD399" s="48"/>
      <c r="AE399" s="48"/>
      <c r="AF399" s="48"/>
      <c r="AG399" s="48"/>
      <c r="AH399" s="48"/>
      <c r="AI399" s="48"/>
      <c r="AJ399" s="48"/>
      <c r="AK399" s="48"/>
      <c r="AL399" s="48"/>
    </row>
    <row r="400" spans="1:38" x14ac:dyDescent="0.2">
      <c r="A400" s="141" t="s">
        <v>249</v>
      </c>
      <c r="B400" s="50"/>
      <c r="C400" s="50"/>
      <c r="D400" s="50"/>
      <c r="E400" s="50"/>
      <c r="F400" s="50"/>
      <c r="G400" s="50"/>
      <c r="H400" s="50"/>
      <c r="I400" s="50"/>
      <c r="J400" s="50"/>
      <c r="K400" s="50"/>
      <c r="AC400" s="41"/>
      <c r="AD400" s="49"/>
      <c r="AE400" s="41"/>
      <c r="AF400" s="49"/>
      <c r="AG400" s="40"/>
      <c r="AH400" s="40"/>
      <c r="AI400" s="40"/>
      <c r="AJ400" s="40"/>
      <c r="AK400" s="40"/>
      <c r="AL400" s="40"/>
    </row>
    <row r="401" spans="1:38" x14ac:dyDescent="0.2">
      <c r="A401" s="46"/>
      <c r="B401" s="50"/>
      <c r="C401" s="50"/>
      <c r="D401" s="50"/>
      <c r="E401" s="50"/>
      <c r="F401" s="50"/>
      <c r="G401" s="50"/>
      <c r="H401" s="50"/>
      <c r="I401" s="50"/>
      <c r="J401" s="50"/>
      <c r="K401" s="50"/>
      <c r="AC401" s="41"/>
      <c r="AD401" s="49"/>
      <c r="AE401" s="41"/>
      <c r="AF401" s="49"/>
      <c r="AG401" s="40"/>
      <c r="AH401" s="40"/>
      <c r="AI401" s="40"/>
      <c r="AJ401" s="40"/>
      <c r="AK401" s="40"/>
      <c r="AL401" s="40"/>
    </row>
    <row r="402" spans="1:38" x14ac:dyDescent="0.2">
      <c r="A402" s="34" t="s">
        <v>285</v>
      </c>
      <c r="B402" s="11" t="s">
        <v>1</v>
      </c>
      <c r="C402" s="11" t="s">
        <v>2</v>
      </c>
      <c r="D402" s="11" t="s">
        <v>3</v>
      </c>
      <c r="E402" s="11" t="s">
        <v>229</v>
      </c>
      <c r="F402" s="11" t="s">
        <v>3</v>
      </c>
      <c r="G402" s="11" t="s">
        <v>45</v>
      </c>
      <c r="H402" s="14"/>
      <c r="I402" s="130" t="s">
        <v>242</v>
      </c>
      <c r="J402" s="130" t="s">
        <v>224</v>
      </c>
      <c r="K402" s="130" t="s">
        <v>225</v>
      </c>
      <c r="AB402" s="50"/>
      <c r="AC402" s="51"/>
      <c r="AD402" s="49"/>
      <c r="AE402" s="51"/>
      <c r="AF402" s="49"/>
      <c r="AG402" s="49"/>
      <c r="AH402" s="49"/>
      <c r="AI402" s="48"/>
      <c r="AJ402" s="48"/>
      <c r="AK402" s="48"/>
      <c r="AL402" s="48"/>
    </row>
    <row r="403" spans="1:38" x14ac:dyDescent="0.2">
      <c r="A403" s="15" t="s">
        <v>219</v>
      </c>
      <c r="B403" s="18">
        <f>_xlfn.IFS($C$3&lt;6,$C$3+IF($C$87="x",$I$3,$I$2)-$C$120+IF($C$75="x",2)+$I$16-$B$10+$M$94+IF($C$77="x",2)-IF($C$78="x",4)-IF($I$78="x",1)-IF($C$79="x",4)+IF($C$80="x",1)-IF($I$77="x",2)-IF($I$90="x",2)+IF($I$83="x",2)-IF($C$75="x",4)-$C$112+I403+$M$77+IF(H405="x",1)+IF(J405="x",1)+IF($M$76="x",2)+J403+IF($M$85="x",1)+IF($M$113="x",1)+IF($M$120="x",2)+IF($M$119="x",2)+IF($M$105="x",1)+IF($M$110="x",1)+IF($M$111="x",2)+IF($M$112="x",4)+IF($M$108="x",1)-IF($M$109="x",1)-IF($M$99="x",1)+IF($M$90="x",1)-IF($I$85="x",4)+IF($M$117="x",1)+$M$118,
$C$3&lt;11,$C$3+IF($C$87="x",$I$3,$I$2)-$C$120+IF($C$75="x",2)+$I$16-$B$10+$M$94+IF($C$77="x",2)-IF($C$78="x",4)-IF($I$78="x",1)-IF($C$79="x",4)+IF($C$80="x",1)-IF($I$77="x",2)-IF($I$90="x",2)+IF($I$83="x",2)-IF($C$83="x",4)-$C$112+I403+$M$77+IF(H405="x",1)+IF(J405="x",1)+IF($M$76="x",2)+J403+IF($M$85="x",1)+IF($M$113="x",1)+IF($M$120="x",2)+IF($M$119="x",2)+IF($M$105="x",1)+IF($M$110="x",1)+IF($M$111="x",2)+IF($M$112="x",4)+IF($M$108="x",1)-IF($M$109="x",1)-IF($M$99="x",1)+IF($M$90="x",1)-IF($I$85="x",4)+IF($M$117="x",1)+$M$118
&amp;"/"&amp;$C$3+IF($C$87="x",$I$3,$I$2)-$C$120+IF($C$75="x",2)+$I$16-$B$10+$M$94+IF($C$77="x",2)-IF($C$78="x",4)-IF($I$78="x",1)-IF($C$79="x",4)+IF($C$80="x",1)-IF($I$77="x",2)-IF($I$90="x",2)+IF($I$83="x",2)-IF($C$83="x",4)-$C$112-5+I403+$M$77+IF(H405="x",1)+IF(J405="x",1)+IF($M$76="x",2)+J403+IF($M$85="x",1)+IF($M$113="x",1)+IF($M$120="x",2)+IF($M$119="x",2)+IF($M$105="x",1)+IF($M$110="x",1)+IF($M$111="x",2)+IF($M$112="x",4)+IF($M$108="x",1)-IF($M$109="x",1)-IF($M$99="x",1)+IF($M$90="x",1)-IF($I$85="x",4)+IF($M$117="x",1)+$M$118,
$C$3&lt;16,$C$3+IF($C$87="x",$I$3,$I$2)-$C$120+IF($C$75="x",2)+$I$16-$B$10+$M$94+IF($C$77="x",2)-IF($C$78="x",4)-IF($I$78="x",1)-IF($C$79="x",4)+IF($C$80="x",1)-IF($I$77="x",2)-IF($I$90="x",2)+IF($I$83="x",2)-IF($C$83="x",4)-$C$112+I403+$M$77+IF(H405="x",1)+IF(J405="x",1)+IF($M$76="x",2)+J403+IF($M$85="x",1)+IF($M$113="x",1)+IF($M$120="x",2)+IF($M$119="x",2)+IF($M$105="x",1)+IF($M$110="x",1)+IF($M$111="x",2)+IF($M$112="x",4)+IF($M$108="x",1)-IF($M$109="x",1)+IF($M$99="x",20)-IF($M$99="x",1)+IF($M$90="x",1)-IF($I$85="x",4)+IF($M$117="x",1)+$M$118
&amp;"/"&amp;$C$3+IF($C$87="x",$I$3,$I$2)-$C$120+IF($C$75="x",2)+$I$16-$B$10+$M$94+IF($C$77="x",2)-IF($C$78="x",4)-IF($I$78="x",1)-IF($C$79="x",4)+IF($C$80="x",1)-IF($I$77="x",2)-IF($I$90="x",2)+IF($I$83="x",2)-IF($C$83="x",4)-$C$112-5+I403+$M$77+IF(H405="x",1)+IF(J405="x",1)+IF($M$76="x",2)+J403+IF($M$85="x",1)+IF($M$113="x",1)+IF($M$120="x",2)+IF($M$119="x",2)+IF($M$105="x",1)+IF($M$110="x",1)+IF($M$111="x",2)+IF($M$112="x",4)+IF($M$108="x",1)-IF($M$109="x",1)-IF($M$99="x",1)+IF($M$90="x",1)-IF($I$85="x",4)+IF($M$117="x",1)+$M$118
&amp;"/"&amp;$C$3+IF($C$87="x",$I$3,$I$2)-$C$120+IF($C$75="x",2)+$I$16-$B$10+$M$94+IF($C$77="x",2)-IF($C$78="x",4)-IF($I$78="x",1)-IF($C$79="x",4)+IF($C$80="x",1)-IF($I$77="x",2)-IF($I$90="x",2)+IF($I$83="x",2)-IF($C$83="x",4)-$C$112-10+I403+$M$77+IF(H405="x",1)+IF(J405="x",1)+IF($M$76="x",2)+J403+IF($M$85="x",1)+IF($M$113="x",1)+IF($M$120="x",2)+IF($M$119="x",2)+IF($M$105="x",1)+IF($M$110="x",1)+IF($M$111="x",2)+IF($M$112="x",4)+IF($M$108="x",1)-IF($M$109="x",1)-IF($M$99="x",1)+IF($M$90="x",1)-IF($I$85="x",4)+IF($M$117="x",1)+$M$118,
$C$3&gt;15,$C$3+IF($C$87="x",$I$3,$I$2)-$C$120+IF($C$75="x",2)+$I$16-$B$10+$M$94+IF($C$77="x",2)-IF($C$78="x",4)-IF($I$78="x",1)-IF($C$79="x",4)+IF($C$80="x",1)-IF($I$77="x",2)-IF($I$90="x",2)+IF($I$83="x",2)-IF($C$83="x",4)-$C$112+I403+$M$77+IF(H405="x",1)+IF(J405="x",1)+IF($M$76="x",2)+J403+IF($M$85="x",1)+IF($M$113="x",1)+IF($M$120="x",2)+IF($M$119="x",2)+IF($M$105="x",1)+IF($M$110="x",1)+IF($M$111="x",2)+IF($M$112="x",4)+IF($M$108="x",1)-IF($M$109="x",1)-IF($M$99="x",1)+IF($M$90="x",1)-IF($I$85="x",4)+IF($M$117="x",1)+$M$118
&amp;"/"&amp;$C$3+IF($C$87="x",$I$3,$I$2)-$C$120+IF($C$75="x",2)+$I$16-$B$10+$M$94+IF($C$77="x",2)-IF($C$78="x",4)-IF($I$78="x",1)-IF($C$79="x",4)+IF($C$80="x",1)-IF($I$77="x",2)-IF($I$90="x",2)+IF($I$83="x",2)-IF($C$83="x",4)-$C$112-5+I403+$M$77+IF(H405="x",1)+IF(J405="x",1)+IF($M$76="x",2)+J403+IF($M$85="x",1)+IF($M$113="x",1)+IF($M$120="x",2)+IF($M$119="x",2)+IF($M$105="x",1)+IF($M$110="x",1)+IF($M$111="x",2)+IF($M$112="x",4)+IF($M$108="x",1)-IF($M$109="x",1)-IF($M$99="x",1)+IF($M$90="x",1)-IF($I$85="x",4)+IF($M$117="x",1)+$M$118
&amp;"/"&amp;$C$3+IF($C$87="x",$I$3,$I$2)-$C$120+IF($C$75="x",2)+$I$16-$B$10+$M$94+IF($C$77="x",2)-IF($C$78="x",4)-IF($I$78="x",1)-IF($C$79="x",4)+IF($C$80="x",1)-IF($I$77="x",2)-IF($I$90="x",2)+IF($I$83="x",2)-IF($C$83="x",4)-$C$112-10+I403+$M$77+IF(H405="x",1)+IF(J405="x",1)+IF($M$76="x",2)+J403+IF($M$85="x",1)+IF($M$113="x",1)+IF($M$120="x",2)+IF($M$119="x",2)+IF($M$105="x",1)+IF($M$110="x",1)+IF($M$111="x",2)+IF($M$112="x",4)+IF($M$108="x",1)-IF($M$109="x",1)-IF($M$99="x",1)+IF($M$90="x",1)-IF($I$85="x",4)+IF($M$117="x",1)+$M$118
&amp;"/"&amp;$C$3+IF($C$87="x",$I$3,$I$2)-$C$120+IF($C$75="x",2)+$I$16-$B$10+$M$94+IF($C$77="x",2)-IF($C$78="x",4)-IF($I$78="x",1)-IF($C$79="x",4)+IF($C$80="x",1)-IF($I$77="x",2)-IF($I$90="x",2)+IF($I$83="x",2)-IF($C$83="x",4)-$C$112-15+I403+$M$77+IF(H405="x",1)+IF(J405="x",1)+IF($M$76="x",2)+J403+IF($M$85="x",1)+IF($M$113="x",1)+IF($M$120="x",2)+IF($M$119="x",2)+IF($M$105="x",1)+IF($M$110="x",1)+IF($M$111="x",2)+IF($M$112="x",4)+IF($M$108="x",1)-IF($M$109="x",1)-IF($M$99="x",1)+IF($M$90="x",1)-IF($I$85="x",4)+IF($M$117="x",1)+$M$118)</f>
        <v>0</v>
      </c>
      <c r="C403" s="40" t="str">
        <f>_xlfn.IFS($C$7="Minimaalinen","–",$C$7="Taskukokoinen","–",$C$7="Hyvin pieni","1",$C$7="Pieni","1n2",$C$7="Keskikokoinen","1n3",$C$7="Iso","1n4",$C$7="Valtava","1n6",$C$7="Suunnaton","1n8",$C$7="Giganttinen","2n6")</f>
        <v>1n3</v>
      </c>
      <c r="D403" s="18">
        <f>SUM($I$2+$C$120)+I403+$M$77+IF(I405="x",2)+IF(K405="x",2)+IF($M$119="x",2)+IF($M$108="x",1)+$M$94-IF($M$109="x",1)+K403+IF($M$117="x",1)+$M$118</f>
        <v>0</v>
      </c>
      <c r="E403" s="40" t="str">
        <f>_xlfn.IFS($C$7="Minimaalinen","–",$C$7="Taskukokoinen","–",$C$7="Hyvin pieni","2",$C$7="Pieni","2n2",$C$7="Keskikokoinen","2n3",$C$7="Iso","2n4",$C$7="Valtava","2n6",$C$7="Suunnaton","2n8",$C$7="Giganttinen","4n6")</f>
        <v>2n3</v>
      </c>
      <c r="F403" s="12">
        <f>SUM(D403*2)</f>
        <v>0</v>
      </c>
      <c r="G403" s="12" t="str">
        <f>(IF($I$89="x","50 %","")&amp;(IF($C$81="x","20 %",""))&amp;(IF($C$82="x","50 %",""&amp;IF($M$91="x","50 % (5 j 20 %)",""&amp;IF($M$115="x","50 % (5 j 20 %)","")))))</f>
        <v/>
      </c>
      <c r="H403" s="50"/>
      <c r="I403" s="17">
        <v>0</v>
      </c>
      <c r="J403" s="17">
        <v>0</v>
      </c>
      <c r="K403" s="17">
        <v>0</v>
      </c>
      <c r="AB403" s="52"/>
      <c r="AC403" s="53"/>
      <c r="AD403" s="54"/>
      <c r="AE403" s="53"/>
      <c r="AF403" s="54"/>
      <c r="AG403" s="54"/>
      <c r="AH403" s="53"/>
      <c r="AI403" s="40"/>
      <c r="AJ403" s="40"/>
      <c r="AK403" s="40"/>
      <c r="AL403" s="40"/>
    </row>
    <row r="404" spans="1:38" x14ac:dyDescent="0.2">
      <c r="A404" s="25" t="s">
        <v>435</v>
      </c>
      <c r="B404" s="121">
        <f>_xlfn.IFS($C$3&lt;6,$C$3+IF($C$87="x",$I$3,$I$2)-$C$120+IF($C$75="x",2)+$I$16-$B$10+$M$94+IF($C$77="x",2)-IF($C$78="x",4)-IF($I$78="x",1)-IF($C$79="x",4)+IF($C$80="x",1)-IF($I$77="x",2)-IF($I$90="x",2)+IF($I$83="x",2)-IF($C$75="x",4)-$C$112+I403+$M$77+IF(H405="x",1)+IF(J405="x",1)+IF($M$76="x",2)+J403+IF($M$85="x",1)+IF($M$113="x",1)+IF($M$120="x",2)+IF($M$119="x",2)+IF($M$105="x",1)+IF($M$110="x",1)+IF($M$111="x",2)+IF($M$112="x",4)+IF($M$108="x",1)-IF($M$109="x",1)-IF($M$99="x",1)+IF($M$90="x",1)-IF($I$85="x",4)-IF($C$97="x",2,4)+IF($M$117="x",1)+$M$118,
$C$3&lt;11,$C$3+IF($C$87="x",$I$3,$I$2)-$C$120+IF($C$75="x",2)+$I$16-$B$10+$M$94+IF($C$77="x",2)-IF($C$78="x",4)-IF($I$78="x",1)-IF($C$79="x",4)+IF($C$80="x",1)-IF($I$77="x",2)-IF($I$90="x",2)+IF($I$83="x",2)-IF($C$83="x",4)-$C$112+I403+$M$77+IF(H405="x",1)+IF(J405="x",1)+IF($M$76="x",2)+J403+IF($M$85="x",1)+IF($M$113="x",1)+IF($M$120="x",2)+IF($M$119="x",2)+IF($M$105="x",1)+IF($M$110="x",1)+IF($M$111="x",2)+IF($M$112="x",4)+IF($M$108="x",1)-IF($M$109="x",1)-IF($M$99="x",1)+IF($M$90="x",1)-IF($I$85="x",4)-IF($C$97="x",2,4)+IF($M$117="x",1)+$M$118
&amp;"/"&amp;$C$3+IF($C$87="x",$I$3,$I$2)-$C$120+IF($C$75="x",2)+$I$16-$B$10+$M$94+IF($C$77="x",2)-IF($C$78="x",4)-IF($I$78="x",1)-IF($C$79="x",4)+IF($C$80="x",1)-IF($I$77="x",2)-IF($I$90="x",2)+IF($I$83="x",2)-IF($C$83="x",4)-$C$112-5+I403+$M$77+IF(H405="x",1)+IF(J405="x",1)+IF($M$76="x",2)+J403+IF($M$85="x",1)+IF($M$113="x",1)+IF($M$120="x",2)+IF($M$119="x",2)+IF($M$105="x",1)+IF($M$110="x",1)+IF($M$111="x",2)+IF($M$112="x",4)+IF($M$108="x",1)-IF($M$109="x",1)-IF($M$99="x",1)+IF($M$90="x",1)-IF($I$85="x",4)-IF($C$97="x",2,4)+IF($M$117="x",1)+$M$118,
$C$3&lt;16,$C$3+IF($C$87="x",$I$3,$I$2)-$C$120+IF($C$75="x",2)+$I$16-$B$10+$M$94+IF($C$77="x",2)-IF($C$78="x",4)-IF($I$78="x",1)-IF($C$79="x",4)+IF($C$80="x",1)-IF($I$77="x",2)-IF($I$90="x",2)+IF($I$83="x",2)-IF($C$83="x",4)-$C$112+I403+$M$77+IF(H405="x",1)+IF(J405="x",1)+IF($M$76="x",2)+J403+IF($M$85="x",1)+IF($M$113="x",1)+IF($M$120="x",2)+IF($M$119="x",2)+IF($M$105="x",1)+IF($M$110="x",1)+IF($M$111="x",2)+IF($M$112="x",4)+IF($M$108="x",1)-IF($M$109="x",1)+IF($M$99="x",20)-IF($M$99="x",1)+IF($M$90="x",1)-IF($I$85="x",4)-IF($C$97="x",2,4)+IF($M$117="x",1)+$M$118
&amp;"/"&amp;$C$3+IF($C$87="x",$I$3,$I$2)-$C$120+IF($C$75="x",2)+$I$16-$B$10+$M$94+IF($C$77="x",2)-IF($C$78="x",4)-IF($I$78="x",1)-IF($C$79="x",4)+IF($C$80="x",1)-IF($I$77="x",2)-IF($I$90="x",2)+IF($I$83="x",2)-IF($C$83="x",4)-$C$112-5+I403+$M$77+IF(H405="x",1)+IF(J405="x",1)+IF($M$76="x",2)+J403+IF($M$85="x",1)+IF($M$113="x",1)+IF($M$120="x",2)+IF($M$119="x",2)+IF($M$105="x",1)+IF($M$110="x",1)+IF($M$111="x",2)+IF($M$112="x",4)+IF($M$108="x",1)-IF($M$109="x",1)-IF($M$99="x",1)+IF($M$90="x",1)-IF($I$85="x",4)-IF($C$97="x",2,4)+IF($M$117="x",1)+$M$118
&amp;"/"&amp;$C$3+IF($C$87="x",$I$3,$I$2)-$C$120+IF($C$75="x",2)+$I$16-$B$10+$M$94+IF($C$77="x",2)-IF($C$78="x",4)-IF($I$78="x",1)-IF($C$79="x",4)+IF($C$80="x",1)-IF($I$77="x",2)-IF($I$90="x",2)+IF($I$83="x",2)-IF($C$83="x",4)-$C$112-10+I403+$M$77+IF(H405="x",1)+IF(J405="x",1)+IF($M$76="x",2)+J403+IF($M$85="x",1)+IF($M$113="x",1)+IF($M$120="x",2)+IF($M$119="x",2)+IF($M$105="x",1)+IF($M$110="x",1)+IF($M$111="x",2)+IF($M$112="x",4)+IF($M$108="x",1)-IF($M$109="x",1)-IF($M$99="x",1)+IF($M$90="x",1)-IF($I$85="x",4)-IF($C$97="x",2,4)+IF($M$117="x",1)+$M$118,
$C$3&gt;15,$C$3+IF($C$87="x",$I$3,$I$2)-$C$120+IF($C$75="x",2)+$I$16-$B$10+$M$94+IF($C$77="x",2)-IF($C$78="x",4)-IF($I$78="x",1)-IF($C$79="x",4)+IF($C$80="x",1)-IF($I$77="x",2)-IF($I$90="x",2)+IF($I$83="x",2)-IF($C$83="x",4)-$C$112+I403+$M$77+IF(H405="x",1)+IF(J405="x",1)+IF($M$76="x",2)+J403+IF($M$85="x",1)+IF($M$113="x",1)+IF($M$120="x",2)+IF($M$119="x",2)+IF($M$105="x",1)+IF($M$110="x",1)+IF($M$111="x",2)+IF($M$112="x",4)+IF($M$108="x",1)-IF($M$109="x",1)-IF($M$99="x",1)+IF($M$90="x",1)-IF($I$85="x",4)-IF($C$97="x",2,4)+IF($M$117="x",1)+$M$118
&amp;"/"&amp;$C$3+IF($C$87="x",$I$3,$I$2)-$C$120+IF($C$75="x",2)+$I$16-$B$10+$M$94+IF($C$77="x",2)-IF($C$78="x",4)-IF($I$78="x",1)-IF($C$79="x",4)+IF($C$80="x",1)-IF($I$77="x",2)-IF($I$90="x",2)+IF($I$83="x",2)-IF($C$83="x",4)-$C$112-5+I403+$M$77+IF(H405="x",1)+IF(J405="x",1)+IF($M$76="x",2)+J403+IF($M$85="x",1)+IF($M$113="x",1)+IF($M$120="x",2)+IF($M$119="x",2)+IF($M$105="x",1)+IF($M$110="x",1)+IF($M$111="x",2)+IF($M$112="x",4)+IF($M$108="x",1)-IF($M$109="x",1)-IF($M$99="x",1)+IF($M$90="x",1)-IF($I$85="x",4)-IF($C$97="x",2,4)+IF($M$117="x",1)+$M$118
&amp;"/"&amp;$C$3+IF($C$87="x",$I$3,$I$2)-$C$120+IF($C$75="x",2)+$I$16-$B$10+$M$94+IF($C$77="x",2)-IF($C$78="x",4)-IF($I$78="x",1)-IF($C$79="x",4)+IF($C$80="x",1)-IF($I$77="x",2)-IF($I$90="x",2)+IF($I$83="x",2)-IF($C$83="x",4)-$C$112-10+I403+$M$77+IF(H405="x",1)+IF(J405="x",1)+IF($M$76="x",2)+J403+IF($M$85="x",1)+IF($M$113="x",1)+IF($M$120="x",2)+IF($M$119="x",2)+IF($M$105="x",1)+IF($M$110="x",1)+IF($M$111="x",2)+IF($M$112="x",4)+IF($M$108="x",1)-IF($M$109="x",1)-IF($M$99="x",1)+IF($M$90="x",1)-IF($I$85="x",4)-IF($C$97="x",2,4)+IF($M$117="x",1)+$M$118
&amp;"/"&amp;$C$3+IF($C$87="x",$I$3,$I$2)-$C$120+IF($C$75="x",2)+$I$16-$B$10+$M$94+IF($C$77="x",2)-IF($C$78="x",4)-IF($I$78="x",1)-IF($C$79="x",4)+IF($C$80="x",1)-IF($I$77="x",2)-IF($I$90="x",2)+IF($I$83="x",2)-IF($C$83="x",4)-$C$112-15+I403+$M$77+IF(H405="x",1)+IF(J405="x",1)+IF($M$76="x",2)+J403+IF($M$85="x",1)+IF($M$113="x",1)+IF($M$120="x",2)+IF($M$119="x",2)+IF($M$105="x",1)+IF($M$110="x",1)+IF($M$111="x",2)+IF($M$112="x",4)+IF($M$108="x",1)-IF($M$109="x",1)-IF($M$99="x",1)+IF($M$90="x",1)-IF($I$85="x",4)-IF($C$97="x",2,4)+IF($M$117="x",1)+$M$118)</f>
        <v>-4</v>
      </c>
      <c r="C404" s="40" t="str">
        <f>_xlfn.IFS($C$7="Minimaalinen","–",$C$7="Taskukokoinen","–",$C$7="Hyvin pieni","1",$C$7="Pieni","1n2",$C$7="Keskikokoinen","1n3",$C$7="Iso","1n4",$C$7="Valtava","1n6",$C$7="Suunnaton","1n8",$C$7="Giganttinen","2n6")</f>
        <v>1n3</v>
      </c>
      <c r="D404" s="121">
        <f>SUM($I$2+$C$120)+I403+$M$77+IF(I405="x",2)+IF(K405="x",2)+IF($M$119="x",2)+IF($M$108="x",1)+$M$94-IF($M$109="x",1)+K403+IF($M$117="x",1)+$M$118</f>
        <v>0</v>
      </c>
      <c r="E404" s="40" t="str">
        <f>_xlfn.IFS($C$7="Minimaalinen","–",$C$7="Taskukokoinen","–",$C$7="Hyvin pieni","2",$C$7="Pieni","2n2",$C$7="Keskikokoinen","2n3",$C$7="Iso","2n4",$C$7="Valtava","2n6",$C$7="Suunnaton","2n8",$C$7="Giganttinen","4n6")</f>
        <v>2n3</v>
      </c>
      <c r="F404" s="82">
        <f>SUM(D404*2)</f>
        <v>0</v>
      </c>
      <c r="G404" s="82" t="str">
        <f>(IF($I$89="x","50 %","")&amp;(IF($C$81="x","20 %",""))&amp;(IF($C$82="x","50 %","")))</f>
        <v/>
      </c>
      <c r="H404" s="14" t="s">
        <v>220</v>
      </c>
      <c r="I404" s="14" t="s">
        <v>221</v>
      </c>
      <c r="J404" s="14" t="s">
        <v>222</v>
      </c>
      <c r="K404" s="14" t="s">
        <v>223</v>
      </c>
    </row>
    <row r="405" spans="1:38" x14ac:dyDescent="0.2">
      <c r="A405" s="122" t="s">
        <v>436</v>
      </c>
      <c r="B405" s="123">
        <f>IF($I$85="x","PAINISSA",IF(AND($C$90="",$C$118=""),SUM($C$3,$I$2)-$C$120+IF($C$75="x",2)+$I$16-$B$10+$M$94+IF($C$77="x",2)-IF($C$78="x",4)-IF($I$78="x",1)-IF($C$79="x",4)+IF($C$80="x",1)-IF($I$77="x",2)-IF($I$90="x",2)+IF($I$83="x",2)-IF($C$75="x",4)-$C$112+IF(H403="x",1)+I403+$M$77+IF(H405="x",1)+IF(J405="x",1)+IF($M$76="x",2)+J403+IF($M$85="x",1)+IF($M$113="x",1)+IF($M$120="x",2)+IF($M$119="x",2)+IF($M$105="x",1)+IF($M$110="x",1)+IF($M$111="x",2)+IF($M$112="x",4)+IF($M$108="x",1)-IF($M$109="x",1)-IF($M$99="x",1)+IF($M$90="x",1)-IF($C$97="x",2,8)+IF($M$117="x",1)+$M$118,
IF(AND($C$90="x",$C$118=""),SUM($C$3,$I$2)-$C$120+IF($C$75="x",2)+$I$16-$B$10+$M$94+IF($C$77="x",2)-IF($C$78="x",4)-IF($I$78="x",1)-IF($C$79="x",4)+IF($C$80="x",1)-IF($I$77="x",2)-IF($I$90="x",2)+IF($I$83="x",2)-IF($C$83="x",4)-$C$112+IF(H403="x",1)+I403+$M$77+IF(H405="x",1)+IF(J405="x",1)+IF($M$76="x",2)+J403+IF($M$85="x",1)+IF($M$113="x",1)+IF($M$120="x",2)+IF($M$119="x",2)+IF($M$105="x",1)+IF($M$110="x",1)+IF($M$111="x",2)+IF($M$112="x",4)+IF($M$108="x",1)-IF($M$109="x",1)-IF($M$99="x",1)+IF($M$90="x",1)-IF($C$97="x",2,8) +IF($M$117="x",1)+$M$118
&amp;"/"&amp;SUM($C$3,$I$2)-$C$120+IF($C$75="x",2)+$I$16-$B$10+$M$94+IF($C$77="x",2)-IF($C$78="x",4)-IF($I$78="x",1)-IF($C$79="x",4)+IF($C$80="x",1)-IF($I$77="x",2)-IF($I$90="x",2)+IF($I$83="x",2)-IF($C$83="x",4)-$C$112+IF(H403="x",1)+I403+$M$77+IF(H405="x",1)+IF(J405="x",1)+IF($M$76="x",2)+J403+IF($M$85="x",1)+IF($M$113="x",1)+IF($M$120="x",2)+IF($M$119="x",2)+IF($M$105="x",1)+IF($M$110="x",1)+IF($M$111="x",2)+IF($M$112="x",4)+IF($M$108="x",1)-IF($M$109="x",1)-IF($M$99="x",1)+IF($M$90="x",1)-IF($C$97="x",2,8)-5+IF($M$117="x",1)+$M$118,
IF(AND($C$90="x",$C$118="x"),SUM($C$3,$I$2)-$C$120+IF($C$75="x",2)+$I$16-$B$10+$M$94+IF($C$77="x",2)-IF($C$78="x",4)-IF($I$78="x",1)-IF($C$79="x",4)+IF($C$80="x",1)-IF($I$77="x",2)-IF($I$90="x",2)+IF($I$83="x",2)-IF($C$83="x",4)-$C$112+IF(H403="x",1)+I403+$M$77+IF(H405="x",1)+IF(J405="x",1)+IF($M$76="x",2)+J403+IF($M$85="x",1)+IF($M$113="x",1)+IF($M$120="x",2)+IF($M$119="x",2)+IF($M$105="x",1)+IF($M$110="x",1)+IF($M$111="x",2)+IF($M$112="x",4)+IF($M$108="x",1)-IF($M$109="x",1)+IF($M$99="x",20)-IF($M$99="x",1)+IF($M$90="x",1)-IF($C$97="x",2,8) +IF($M$117="x",1)+$M$118
&amp;"/"&amp;SUM($C$3,$I$2)-$C$120+IF($C$75="x",2)+$I$16-$B$10+$M$94+IF($C$77="x",2)-IF($C$78="x",4)-IF($I$78="x",1)-IF($C$79="x",4)+IF($C$80="x",1)-IF($I$77="x",2)-IF($I$90="x",2)+IF($I$83="x",2)-IF($C$83="x",4)-$C$112-5+IF(H403="x",1)+I404+$M$77+IF(H405="x",1)+IF(J405="x",1)+IF($M$76="x",2)+J403+IF($M$85="x",1)+IF($M$113="x",1)+IF($M$120="x",2)+IF($M$119="x",2)+IF($M$105="x",1)+IF($M$110="x",1)+IF($M$111="x",2)+IF($M$112="x",4)+IF($M$108="x",1)-IF($M$109="x",1)-IF($M$99="x",1)+IF($M$90="x",1)-IF($C$97="x",4,10)+IF($M$117="x",1)+$M$118
&amp;"/"&amp;SUM($C$3,$I$2)-$C$120+IF($C$75="x",2)+$I$16-$B$10+$M$94+IF($C$77="x",2)-IF($C$78="x",4)-IF($I$78="x",1)-IF($C$79="x",4)+IF($C$80="x",1)-IF($I$77="x",2)-IF($I$90="x",2)+IF($I$83="x",2)-IF($C$83="x",4)-$C$112-10+IF(H403="x",1)+I403+$M$77+IF(H405="x",1)+IF(J405="x",1)+IF($M$76="x",2)+J403+IF($M$85="x",1)+IF($M$113="x",1)+IF($M$120="x",2)+IF($M$119="x",2)+IF($M$105="x",1)+IF($M$110="x",1)+IF($M$111="x",2)+IF($M$112="x",4)+IF($M$108="x",1)-IF($M$109="x",1)-IF($M$99="x",1)+IF($M$90="x",1)-IF($C$97="x",2,8)+IF($M$117="x",1)+$M$118))))</f>
        <v>-8</v>
      </c>
      <c r="C405" s="54" t="str">
        <f>_xlfn.IFS($C$7="Minimaalinen","–",$C$7="Taskukokoinen","–",$C$7="Hyvin pieni","1",$C$7="Pieni","1n2",$C$7="Keskikokoinen","1n3",$C$7="Iso","1n4",$C$7="Valtava","1n6",$C$7="Suunnaton","1n8",$C$7="Giganttinen","2n6")</f>
        <v>1n3</v>
      </c>
      <c r="D405" s="123">
        <f>INT($I$2/2)+($C$120)+I403+$M$77+IF(I405="x",2)+IF(K405="x",2)+IF($M$119="x",2)+IF($M$108="x",1)+$M$94-IF($M$109="x",1)+K403+IF($M$117="x",1)+$M$118</f>
        <v>0</v>
      </c>
      <c r="E405" s="54" t="str">
        <f>_xlfn.IFS($C$7="Minimaalinen","–",$C$7="Taskukokoinen","–",$C$7="Hyvin pieni","2",$C$7="Pieni","2n2",$C$7="Keskikokoinen","2n3",$C$7="Iso","2n4",$C$7="Valtava","2n6",$C$7="Suunnaton","2n8",$C$7="Giganttinen","4n6")</f>
        <v>2n3</v>
      </c>
      <c r="F405" s="124">
        <f>SUM(D405*2)</f>
        <v>0</v>
      </c>
      <c r="G405" s="123" t="str">
        <f>(IF($I$89="x","50 %","")&amp;(IF($C$81="x","20 %",""))&amp;(IF($C$82="x","50 %","")))</f>
        <v/>
      </c>
      <c r="H405" s="28"/>
      <c r="I405" s="28"/>
      <c r="J405" s="28"/>
      <c r="K405" s="28"/>
    </row>
    <row r="406" spans="1:38" x14ac:dyDescent="0.2">
      <c r="A406" s="65"/>
      <c r="B406" s="140"/>
      <c r="C406" s="67"/>
      <c r="D406" s="140"/>
      <c r="E406" s="67"/>
      <c r="F406" s="67"/>
      <c r="G406" s="67"/>
      <c r="H406" s="67"/>
      <c r="I406" s="40"/>
      <c r="J406" s="45"/>
      <c r="K406" s="45"/>
      <c r="AB406" s="46"/>
      <c r="AC406" s="48"/>
      <c r="AD406" s="48"/>
      <c r="AE406" s="48"/>
      <c r="AF406" s="48"/>
      <c r="AG406" s="48"/>
      <c r="AH406" s="48"/>
      <c r="AI406" s="48"/>
      <c r="AJ406" s="48"/>
      <c r="AK406" s="48"/>
      <c r="AL406" s="48"/>
    </row>
    <row r="407" spans="1:38" x14ac:dyDescent="0.2">
      <c r="A407" s="65"/>
      <c r="B407" s="65"/>
      <c r="C407" s="65"/>
      <c r="D407" s="65"/>
      <c r="E407" s="65"/>
      <c r="F407" s="65"/>
      <c r="G407" s="65"/>
      <c r="H407" s="65"/>
      <c r="I407" s="65"/>
      <c r="J407" s="65"/>
      <c r="K407" s="65"/>
      <c r="AC407" s="41"/>
      <c r="AD407" s="49"/>
      <c r="AE407" s="41"/>
      <c r="AF407" s="49"/>
      <c r="AG407" s="40"/>
      <c r="AH407" s="40"/>
      <c r="AI407" s="40"/>
      <c r="AJ407" s="40"/>
      <c r="AK407" s="40"/>
      <c r="AL407" s="40"/>
    </row>
    <row r="408" spans="1:38" x14ac:dyDescent="0.2">
      <c r="A408" s="10" t="s">
        <v>291</v>
      </c>
      <c r="B408" s="11" t="s">
        <v>1</v>
      </c>
      <c r="C408" s="11" t="s">
        <v>2</v>
      </c>
      <c r="D408" s="11" t="s">
        <v>3</v>
      </c>
      <c r="E408" s="11" t="s">
        <v>229</v>
      </c>
      <c r="F408" s="11" t="s">
        <v>3</v>
      </c>
      <c r="G408" s="11" t="s">
        <v>45</v>
      </c>
      <c r="H408" s="14" t="s">
        <v>179</v>
      </c>
      <c r="I408" s="130" t="s">
        <v>242</v>
      </c>
      <c r="J408" s="130" t="s">
        <v>224</v>
      </c>
      <c r="K408" s="130" t="s">
        <v>225</v>
      </c>
      <c r="AB408" s="50"/>
      <c r="AC408" s="51"/>
      <c r="AD408" s="49"/>
      <c r="AE408" s="51"/>
      <c r="AF408" s="49"/>
      <c r="AG408" s="40"/>
      <c r="AH408" s="49"/>
      <c r="AI408" s="48"/>
      <c r="AJ408" s="48"/>
      <c r="AK408" s="48"/>
      <c r="AL408" s="48"/>
    </row>
    <row r="409" spans="1:38" x14ac:dyDescent="0.2">
      <c r="A409" s="15" t="s">
        <v>219</v>
      </c>
      <c r="B409" s="18">
        <f>_xlfn.IFS($C$3&lt;6,$C$3+IF($C$87="x",$I$3,$I$2)-$C$120+IF($C$75="x",2)+$I$16-$B$10+$M$94+IF($C$77="x",2)-IF($C$78="x",4)-IF($I$78="x",1)-IF($C$79="x",4)+IF($C$80="x",1)-IF($I$77="x",2)-IF($I$90="x",2)+IF($I$83="x",2)-IF($C$75="x",4)-$C$112+IF(H409="x",1)+I409+$M$77+IF(H411="x",1)+IF(J411="x",1)+IF($M$76="x",2)+J409+IF($M$85="x",1)+IF($M$113="x",1)+IF($M$120="x",2)+IF($M$119="x",2)+IF($M$105="x",1)+IF($M$110="x",1)+IF($M$111="x",2)+IF($M$112="x",4)+IF($M$108="x",1)-IF($M$109="x",1)-IF($M$99="x",1)+IF($M$90="x",1)-IF($I$85="x",4),
$C$3&lt;11,$C$3+IF($C$87="x",$I$3,$I$2)-$C$120+IF($C$75="x",2)+$I$16-$B$10+$M$94+IF($C$77="x",2)-IF($C$78="x",4)-IF($I$78="x",1)-IF($C$79="x",4)+IF($C$80="x",1)-IF($I$77="x",2)-IF($I$90="x",2)+IF($I$83="x",2)-IF($C$83="x",4)-$C$112+IF(H409="x",1)+I409+$M$77+IF(H411="x",1)+IF(J411="x",1)+IF($M$76="x",2)+J409+IF($M$85="x",1)+IF($M$113="x",1)+IF($M$120="x",2)+IF($M$119="x",2)+IF($M$105="x",1)+IF($M$110="x",1)+IF($M$111="x",2)+IF($M$112="x",4)+IF($M$108="x",1)-IF($M$109="x",1)-IF($M$99="x",1)+IF($M$90="x",1)-IF($I$85="x",4)
&amp;"/"&amp;$C$3+IF($C$87="x",$I$3,$I$2)-$C$120+IF($C$75="x",2)+$I$16-$B$10+$M$94+IF($C$77="x",2)-IF($C$78="x",4)-IF($I$78="x",1)-IF($C$79="x",4)+IF($C$80="x",1)-IF($I$77="x",2)-IF($I$90="x",2)+IF($I$83="x",2)-IF($C$83="x",4)-$C$112-5+IF(H409="x",1)+I409+$M$77+IF(H411="x",1)+IF(J411="x",1)+IF($M$76="x",2)+J409+IF($M$85="x",1)+IF($M$113="x",1)+IF($M$120="x",2)+IF($M$119="x",2)+IF($M$105="x",1)+IF($M$110="x",1)+IF($M$111="x",2)+IF($M$112="x",4)+IF($M$108="x",1)-IF($M$109="x",1)-IF($M$99="x",1)+IF($M$90="x",1)-IF($I$85="x",4),
$C$3&lt;16,$C$3+IF($C$87="x",$I$3,$I$2)-$C$120+IF($C$75="x",2)+$I$16-$B$10+$M$94+IF($C$77="x",2)-IF($C$78="x",4)-IF($I$78="x",1)-IF($C$79="x",4)+IF($C$80="x",1)-IF($I$77="x",2)-IF($I$90="x",2)+IF($I$83="x",2)-IF($C$83="x",4)-$C$112+IF(H409="x",1)+I409+$M$77+IF(H411="x",1)+IF(J411="x",1)+IF($M$76="x",2)+J409+IF($M$85="x",1)+IF($M$113="x",1)+IF($M$120="x",2)+IF($M$119="x",2)+IF($M$105="x",1)+IF($M$110="x",1)+IF($M$111="x",2)+IF($M$112="x",4)+IF($M$108="x",1)-IF($M$109="x",1)+IF($M$99="x",20)-IF($M$99="x",1)+IF($M$90="x",1)-IF($I$85="x",4)
&amp;"/"&amp;$C$3+IF($C$87="x",$I$3,$I$2)-$C$120+IF($C$75="x",2)+$I$16-$B$10+$M$94+IF($C$77="x",2)-IF($C$78="x",4)-IF($I$78="x",1)-IF($C$79="x",4)+IF($C$80="x",1)-IF($I$77="x",2)-IF($I$90="x",2)+IF($I$83="x",2)-IF($C$83="x",4)-$C$112-5+IF(H409="x",1)+I409+$M$77+IF(H411="x",1)+IF(J411="x",1)+IF($M$76="x",2)+J409+IF($M$85="x",1)+IF($M$113="x",1)+IF($M$120="x",2)+IF($M$119="x",2)+IF($M$105="x",1)+IF($M$110="x",1)+IF($M$111="x",2)+IF($M$112="x",4)+IF($M$108="x",1)-IF($M$109="x",1)-IF($M$99="x",1)+IF($M$90="x",1)-IF($I$85="x",4)
&amp;"/"&amp;$C$3+IF($C$87="x",$I$3,$I$2)-$C$120+IF($C$75="x",2)+$I$16-$B$10+$M$94+IF($C$77="x",2)-IF($C$78="x",4)-IF($I$78="x",1)-IF($C$79="x",4)+IF($C$80="x",1)-IF($I$77="x",2)-IF($I$90="x",2)+IF($I$83="x",2)-IF($C$83="x",4)-$C$112-10+IF(H409="x",1)+I409+$M$77+IF(H411="x",1)+IF(J411="x",1)+IF($M$76="x",2)+J409+IF($M$85="x",1)+IF($M$113="x",1)+IF($M$120="x",2)+IF($M$119="x",2)+IF($M$105="x",1)+IF($M$110="x",1)+IF($M$111="x",2)+IF($M$112="x",4)+IF($M$108="x",1)-IF($M$109="x",1)-IF($M$99="x",1)+IF($M$90="x",1)-IF($I$85="x",4),
$C$3&gt;15,$C$3+IF($C$87="x",$I$3,$I$2)-$C$120+IF($C$75="x",2)+$I$16-$B$10+$M$94+IF($C$77="x",2)-IF($C$78="x",4)-IF($I$78="x",1)-IF($C$79="x",4)+IF($C$80="x",1)-IF($I$77="x",2)-IF($I$90="x",2)+IF($I$83="x",2)-IF($C$83="x",4)-$C$112+IF(H409="x",1)+I409+$M$77+IF(H411="x",1)+IF(J411="x",1)+IF($M$76="x",2)+J409+IF($M$85="x",1)+IF($M$113="x",1)+IF($M$120="x",2)+IF($M$119="x",2)+IF($M$105="x",1)+IF($M$110="x",1)+IF($M$111="x",2)+IF($M$112="x",4)+IF($M$108="x",1)-IF($M$109="x",1)-IF($M$99="x",1)+IF($M$90="x",1)-IF($I$85="x",4)
&amp;"/"&amp;$C$3+IF($C$87="x",$I$3,$I$2)-$C$120+IF($C$75="x",2)+$I$16-$B$10+$M$94+IF($C$77="x",2)-IF($C$78="x",4)-IF($I$78="x",1)-IF($C$79="x",4)+IF($C$80="x",1)-IF($I$77="x",2)-IF($I$90="x",2)+IF($I$83="x",2)-IF($C$83="x",4)-$C$112-5+IF(H409="x",1)+I409+$M$77+IF(H411="x",1)+IF(J411="x",1)+IF($M$76="x",2)+J409+IF($M$85="x",1)+IF($M$113="x",1)+IF($M$120="x",2)+IF($M$119="x",2)+IF($M$105="x",1)+IF($M$110="x",1)+IF($M$111="x",2)+IF($M$112="x",4)+IF($M$108="x",1)-IF($M$109="x",1)-IF($M$99="x",1)+IF($M$90="x",1)-IF($I$85="x",4)
&amp;"/"&amp;$C$3+IF($C$87="x",$I$3,$I$2)-$C$120+IF($C$75="x",2)+$I$16-$B$10+$M$94+IF($C$77="x",2)-IF($C$78="x",4)-IF($I$78="x",1)-IF($C$79="x",4)+IF($C$80="x",1)-IF($I$77="x",2)-IF($I$90="x",2)+IF($I$83="x",2)-IF($C$83="x",4)-$C$112-10+IF(H409="x",1)+I409+$M$77+IF(H411="x",1)+IF(J411="x",1)+IF($M$76="x",2)+J409+IF($M$85="x",1)+IF($M$113="x",1)+IF($M$120="x",2)+IF($M$119="x",2)+IF($M$105="x",1)+IF($M$110="x",1)+IF($M$111="x",2)+IF($M$112="x",4)+IF($M$108="x",1)-IF($M$109="x",1)-IF($M$99="x",1)+IF($M$90="x",1)-IF($I$85="x",4)
&amp;"/"&amp;$C$3+IF($C$87="x",$I$3,$I$2)-$C$120+IF($C$75="x",2)+$I$16-$B$10+$M$94+IF($C$77="x",2)-IF($C$78="x",4)-IF($I$78="x",1)-IF($C$79="x",4)+IF($C$80="x",1)-IF($I$77="x",2)-IF($I$90="x",2)+IF($I$83="x",2)-IF($C$83="x",4)-$C$112-15+IF(H409="x",1)+I409+$M$77+IF(H411="x",1)+IF(J411="x",1)+IF($M$76="x",2)+J409+IF($M$85="x",1)+IF($M$113="x",1)+IF($M$120="x",2)+IF($M$119="x",2)+IF($M$105="x",1)+IF($M$110="x",1)+IF($M$111="x",2)+IF($M$112="x",4)+IF($M$108="x",1)-IF($M$109="x",1)-IF($M$99="x",1)+IF($M$90="x",1)-IF($I$85="x",4))</f>
        <v>0</v>
      </c>
      <c r="C409" s="49" t="str">
        <f>_xlfn.IFS($C$7="Minimaalinen","–",$C$7="Taskukokoinen","1",$C$7="Hyvin pieni","1n2",$C$7="Pieni","1n3",$C$7="Keskikokoinen","1n4",$C$7="Iso","1n6",$C$7="Valtava","1n8",$C$7="Suunnaton","2n6",$C$7="Giganttinen","3n6")</f>
        <v>1n4</v>
      </c>
      <c r="D409" s="18">
        <f>SUM($I$2+$C$120)+I409+$M$77+IF(I411="x",2)+IF(K411="x",2)+IF($M$119="x",2)+IF($M$108="x",1)+$M$94-IF($M$109="x",1)+K409</f>
        <v>0</v>
      </c>
      <c r="E409" s="49" t="str">
        <f>_xlfn.IFS($C$7="Minimaalinen","–",$C$7="Taskukokoinen","4",$C$7="Hyvin pieni","4n2",$C$7="Pieni","4n3",$C$7="Keskikokoinen","4n4",$C$7="Iso","4n6",$C$7="Valtava","4n8",$C$7="Suunnaton","8n6",$C$7="Giganttinen","12n6")</f>
        <v>4n4</v>
      </c>
      <c r="F409" s="12">
        <f>SUM(D409*4)</f>
        <v>0</v>
      </c>
      <c r="G409" s="12" t="str">
        <f>(IF($I$89="x","50 %","")&amp;(IF($C$81="x","20 %",""))&amp;(IF($C$82="x","50 %",""&amp;IF($M$91="x","50 % (5 j 20 %)",""&amp;IF($M$115="x","50 % (5 j 20 %)","")))))</f>
        <v/>
      </c>
      <c r="H409" s="28"/>
      <c r="I409" s="17">
        <v>0</v>
      </c>
      <c r="J409" s="17">
        <v>0</v>
      </c>
      <c r="K409" s="17">
        <v>0</v>
      </c>
      <c r="AB409" s="52"/>
      <c r="AC409" s="53"/>
      <c r="AD409" s="54"/>
      <c r="AE409" s="53"/>
      <c r="AF409" s="54"/>
      <c r="AG409" s="54"/>
      <c r="AH409" s="53"/>
      <c r="AI409" s="40"/>
      <c r="AJ409" s="40"/>
      <c r="AK409" s="40"/>
      <c r="AL409" s="40"/>
    </row>
    <row r="410" spans="1:38" x14ac:dyDescent="0.2">
      <c r="A410" s="25" t="s">
        <v>435</v>
      </c>
      <c r="B410" s="121">
        <f>_xlfn.IFS($C$3&lt;6,$C$3+IF($C$87="x",$I$3,$I$2)-$C$120+IF($C$75="x",2)+$I$16-$B$10+$M$94+IF($C$77="x",2)-IF($C$78="x",4)-IF($I$78="x",1)-IF($C$79="x",4)+IF($C$80="x",1)-IF($I$77="x",2)-IF($I$90="x",2)+IF($I$83="x",2)-IF($C$75="x",4)-$C$112+IF(H409="x",1)+I409+$M$77+IF(H411="x",1)+IF(J411="x",1)+IF($M$76="x",2)+J409+IF($M$85="x",1)+IF($M$113="x",1)+IF($M$120="x",2)+IF($M$119="x",2)+IF($M$105="x",1)+IF($M$110="x",1)+IF($M$111="x",2)+IF($M$112="x",4)+IF($M$108="x",1)-IF($M$109="x",1)-IF($M$99="x",1)+IF($M$90="x",1)-IF($I$85="x",4)-IF($C$97="x",2,4),
$C$3&lt;11,$C$3+IF($C$87="x",$I$3,$I$2)-$C$120+IF($C$75="x",2)+$I$16-$B$10+$M$94+IF($C$77="x",2)-IF($C$78="x",4)-IF($I$78="x",1)-IF($C$79="x",4)+IF($C$80="x",1)-IF($I$77="x",2)-IF($I$90="x",2)+IF($I$83="x",2)-IF($C$83="x",4)-$C$112+IF(H409="x",1)+I409+$M$77+IF(H411="x",1)+IF(J411="x",1)+IF($M$76="x",2)+J409+IF($M$85="x",1)+IF($M$113="x",1)+IF($M$120="x",2)+IF($M$119="x",2)+IF($M$105="x",1)+IF($M$110="x",1)+IF($M$111="x",2)+IF($M$112="x",4)+IF($M$108="x",1)-IF($M$109="x",1)-IF($M$99="x",1)+IF($M$90="x",1)-IF($I$85="x",4)-IF($C$97="x",2,4)
&amp;"/"&amp;$C$3+IF($C$87="x",$I$3,$I$2)-$C$120+IF($C$75="x",2)+$I$16-$B$10+$M$94+IF($C$77="x",2)-IF($C$78="x",4)-IF($I$78="x",1)-IF($C$79="x",4)+IF($C$80="x",1)-IF($I$77="x",2)-IF($I$90="x",2)+IF($I$83="x",2)-IF($C$83="x",4)-$C$112-5+IF(H409="x",1)+I409+$M$77+IF(H411="x",1)+IF(J411="x",1)+IF($M$76="x",2)+J409+IF($M$85="x",1)+IF($M$113="x",1)+IF($M$120="x",2)+IF($M$119="x",2)+IF($M$105="x",1)+IF($M$110="x",1)+IF($M$111="x",2)+IF($M$112="x",4)+IF($M$108="x",1)-IF($M$109="x",1)-IF($M$99="x",1)+IF($M$90="x",1)-IF($I$85="x",4)-IF($C$97="x",2,4),
$C$3&lt;16,$C$3+IF($C$87="x",$I$3,$I$2)-$C$120+IF($C$75="x",2)+$I$16-$B$10+$M$94+IF($C$77="x",2)-IF($C$78="x",4)-IF($I$78="x",1)-IF($C$79="x",4)+IF($C$80="x",1)-IF($I$77="x",2)-IF($I$90="x",2)+IF($I$83="x",2)-IF($C$83="x",4)-$C$112+IF(H409="x",1)+I409+$M$77+IF(H411="x",1)+IF(J411="x",1)+IF($M$76="x",2)+J409+IF($M$85="x",1)+IF($M$113="x",1)+IF($M$120="x",2)+IF($M$119="x",2)+IF($M$105="x",1)+IF($M$110="x",1)+IF($M$111="x",2)+IF($M$112="x",4)+IF($M$108="x",1)-IF($M$109="x",1)+IF($M$99="x",20)-IF($M$99="x",1)+IF($M$90="x",1)-IF($I$85="x",4)-IF($C$97="x",2,4)
&amp;"/"&amp;$C$3+IF($C$87="x",$I$3,$I$2)-$C$120+IF($C$75="x",2)+$I$16-$B$10+$M$94+IF($C$77="x",2)-IF($C$78="x",4)-IF($I$78="x",1)-IF($C$79="x",4)+IF($C$80="x",1)-IF($I$77="x",2)-IF($I$90="x",2)+IF($I$83="x",2)-IF($C$83="x",4)-$C$112-5+IF(H409="x",1)+I409+$M$77+IF(H411="x",1)+IF(J411="x",1)+IF($M$76="x",2)+J409+IF($M$85="x",1)+IF($M$113="x",1)+IF($M$120="x",2)+IF($M$119="x",2)+IF($M$105="x",1)+IF($M$110="x",1)+IF($M$111="x",2)+IF($M$112="x",4)+IF($M$108="x",1)-IF($M$109="x",1)-IF($M$99="x",1)+IF($M$90="x",1)-IF($I$85="x",4)-IF($C$97="x",2,4)
&amp;"/"&amp;$C$3+IF($C$87="x",$I$3,$I$2)-$C$120+IF($C$75="x",2)+$I$16-$B$10+$M$94+IF($C$77="x",2)-IF($C$78="x",4)-IF($I$78="x",1)-IF($C$79="x",4)+IF($C$80="x",1)-IF($I$77="x",2)-IF($I$90="x",2)+IF($I$83="x",2)-IF($C$83="x",4)-$C$112-10+IF(H409="x",1)+I409+$M$77+IF(H411="x",1)+IF(J411="x",1)+IF($M$76="x",2)+J409+IF($M$85="x",1)+IF($M$113="x",1)+IF($M$120="x",2)+IF($M$119="x",2)+IF($M$105="x",1)+IF($M$110="x",1)+IF($M$111="x",2)+IF($M$112="x",4)+IF($M$108="x",1)-IF($M$109="x",1)-IF($M$99="x",1)+IF($M$90="x",1)-IF($I$85="x",4)-IF($C$97="x",2,4),
$C$3&gt;15,$C$3+IF($C$87="x",$I$3,$I$2)-$C$120+IF($C$75="x",2)+$I$16-$B$10+$M$94+IF($C$77="x",2)-IF($C$78="x",4)-IF($I$78="x",1)-IF($C$79="x",4)+IF($C$80="x",1)-IF($I$77="x",2)-IF($I$90="x",2)+IF($I$83="x",2)-IF($C$83="x",4)-$C$112+IF(H409="x",1)+I409+$M$77+IF(H411="x",1)+IF(J411="x",1)+IF($M$76="x",2)+J409+IF($M$85="x",1)+IF($M$113="x",1)+IF($M$120="x",2)+IF($M$119="x",2)+IF($M$105="x",1)+IF($M$110="x",1)+IF($M$111="x",2)+IF($M$112="x",4)+IF($M$108="x",1)-IF($M$109="x",1)-IF($M$99="x",1)+IF($M$90="x",1)-IF($I$85="x",4)-IF($C$97="x",2,4)
&amp;"/"&amp;$C$3+IF($C$87="x",$I$3,$I$2)-$C$120+IF($C$75="x",2)+$I$16-$B$10+$M$94+IF($C$77="x",2)-IF($C$78="x",4)-IF($I$78="x",1)-IF($C$79="x",4)+IF($C$80="x",1)-IF($I$77="x",2)-IF($I$90="x",2)+IF($I$83="x",2)-IF($C$83="x",4)-$C$112-5+IF(H409="x",1)+I409+$M$77+IF(H411="x",1)+IF(J411="x",1)+IF($M$76="x",2)+J409+IF($M$85="x",1)+IF($M$113="x",1)+IF($M$120="x",2)+IF($M$119="x",2)+IF($M$105="x",1)+IF($M$110="x",1)+IF($M$111="x",2)+IF($M$112="x",4)+IF($M$108="x",1)-IF($M$109="x",1)-IF($M$99="x",1)+IF($M$90="x",1)-IF($I$85="x",4)-IF($C$97="x",2,4)
&amp;"/"&amp;$C$3+IF($C$87="x",$I$3,$I$2)-$C$120+IF($C$75="x",2)+$I$16-$B$10+$M$94+IF($C$77="x",2)-IF($C$78="x",4)-IF($I$78="x",1)-IF($C$79="x",4)+IF($C$80="x",1)-IF($I$77="x",2)-IF($I$90="x",2)+IF($I$83="x",2)-IF($C$83="x",4)-$C$112-10+IF(H409="x",1)+I409+$M$77+IF(H411="x",1)+IF(J411="x",1)+IF($M$76="x",2)+J409+IF($M$85="x",1)+IF($M$113="x",1)+IF($M$120="x",2)+IF($M$119="x",2)+IF($M$105="x",1)+IF($M$110="x",1)+IF($M$111="x",2)+IF($M$112="x",4)+IF($M$108="x",1)-IF($M$109="x",1)-IF($M$99="x",1)+IF($M$90="x",1)-IF($I$85="x",4)-IF($C$97="x",2,4)
&amp;"/"&amp;$C$3+IF($C$87="x",$I$3,$I$2)-$C$120+IF($C$75="x",2)+$I$16-$B$10+$M$94+IF($C$77="x",2)-IF($C$78="x",4)-IF($I$78="x",1)-IF($C$79="x",4)+IF($C$80="x",1)-IF($I$77="x",2)-IF($I$90="x",2)+IF($I$83="x",2)-IF($C$83="x",4)-$C$112-15+IF(H409="x",1)+I409+$M$77+IF(H411="x",1)+IF(J411="x",1)+IF($M$76="x",2)+J409+IF($M$85="x",1)+IF($M$113="x",1)+IF($M$120="x",2)+IF($M$119="x",2)+IF($M$105="x",1)+IF($M$110="x",1)+IF($M$111="x",2)+IF($M$112="x",4)+IF($M$108="x",1)-IF($M$109="x",1)-IF($M$99="x",1)+IF($M$90="x",1)-IF($I$85="x",4)-IF($C$97="x",2,4))</f>
        <v>-4</v>
      </c>
      <c r="C410" s="49" t="str">
        <f>_xlfn.IFS($C$7="Minimaalinen","–",$C$7="Taskukokoinen","1",$C$7="Hyvin pieni","1n2",$C$7="Pieni","1n3",$C$7="Keskikokoinen","1n4",$C$7="Iso","1n6",$C$7="Valtava","1n8",$C$7="Suunnaton","2n6",$C$7="Giganttinen","3n6")</f>
        <v>1n4</v>
      </c>
      <c r="D410" s="121">
        <f>SUM($I$2+$C$120)+I409+$M$77+IF(I411="x",2)+IF(K411="x",2)+IF($M$119="x",2)+IF($M$108="x",1)+$M$94-IF($M$109="x",1)+K409</f>
        <v>0</v>
      </c>
      <c r="E410" s="49" t="str">
        <f>_xlfn.IFS($C$7="Minimaalinen","–",$C$7="Taskukokoinen","2",$C$7="Hyvin pieni","2n2",$C$7="Pieni","2n3",$C$7="Keskikokoinen","2n4",$C$7="Iso","2n6",$C$7="Valtava","2n8",$C$7="Suunnaton","4n6",$C$7="Giganttinen","6n6")</f>
        <v>2n4</v>
      </c>
      <c r="F410" s="12">
        <f>SUM(D410*4)</f>
        <v>0</v>
      </c>
      <c r="G410" s="82" t="str">
        <f>(IF($I$89="x","50 %","")&amp;(IF($C$81="x","20 %",""))&amp;(IF($C$82="x","50 %","")))</f>
        <v/>
      </c>
      <c r="H410" s="14" t="s">
        <v>220</v>
      </c>
      <c r="I410" s="14" t="s">
        <v>221</v>
      </c>
      <c r="J410" s="14" t="s">
        <v>222</v>
      </c>
      <c r="K410" s="14" t="s">
        <v>223</v>
      </c>
    </row>
    <row r="411" spans="1:38" x14ac:dyDescent="0.2">
      <c r="A411" s="122" t="s">
        <v>436</v>
      </c>
      <c r="B411" s="123">
        <f>IF($I$85="x","PAINISSA",IF(AND($C$90="",$C$118=""),SUM($C$3,$I$2)-$C$120+IF($C$75="x",2)+$I$16-$B$10+$M$94+IF($C$77="x",2)-IF($C$78="x",4)-IF($I$78="x",1)-IF($C$79="x",4)+IF($C$80="x",1)-IF($I$77="x",2)-IF($I$90="x",2)+IF($I$83="x",2)-IF($C$75="x",4)-$C$112+IF(H409="x",1)+I409+$M$77+IF(H411="x",1)+IF(J411="x",1)+IF($M$76="x",2)+J409+IF($M$85="x",1)+IF($M$113="x",1)+IF($M$120="x",2)+IF($M$119="x",2)+IF($M$105="x",1)+IF($M$110="x",1)+IF($M$111="x",2)+IF($M$112="x",4)+IF($M$108="x",1)-IF($M$109="x",1)-IF($M$99="x",1)+IF($M$90="x",1)-IF($C$97="x",2,8),
IF(AND($C$90="x",$C$118=""),SUM($C$3,$I$2)-$C$120+IF($C$75="x",2)+$I$16-$B$10+$M$94+IF($C$77="x",2)-IF($C$78="x",4)-IF($I$78="x",1)-IF($C$79="x",4)+IF($C$80="x",1)-IF($I$77="x",2)-IF($I$90="x",2)+IF($I$83="x",2)-IF($C$83="x",4)-$C$112+IF(H409="x",1)+I409+$M$77+IF(H411="x",1)+IF(J411="x",1)+IF($M$76="x",2)+J409+IF($M$85="x",1)+IF($M$113="x",1)+IF($M$120="x",2)+IF($M$119="x",2)+IF($M$105="x",1)+IF($M$110="x",1)+IF($M$111="x",2)+IF($M$112="x",4)+IF($M$108="x",1)-IF($M$109="x",1)-IF($M$99="x",1)+IF($M$90="x",1)-IF($C$97="x",2,8)
&amp;"/"&amp;SUM($C$3,$I$2)-$C$120+IF($C$75="x",2)+$I$16-$B$10+$M$94+IF($C$77="x",2)-IF($C$78="x",4)-IF($I$78="x",1)-IF($C$79="x",4)+IF($C$80="x",1)-IF($I$77="x",2)-IF($I$90="x",2)+IF($I$83="x",2)-IF($C$83="x",4)-$C$112+IF(H409="x",1)+I409+$M$77+IF(H411="x",1)+IF(J411="x",1)+IF($M$76="x",2)+J409+IF($M$85="x",1)+IF($M$113="x",1)+IF($M$120="x",2)+IF($M$119="x",2)+IF($M$105="x",1)+IF($M$110="x",1)+IF($M$111="x",2)+IF($M$112="x",4)+IF($M$108="x",1)-IF($M$109="x",1)-IF($M$99="x",1)+IF($M$90="x",1)-IF($C$97="x",2,8)-5,
IF(AND($C$90="x",$C$118="x"),SUM($C$3,$I$2)-$C$120+IF($C$75="x",2)+$I$16-$B$10+$M$94+IF($C$77="x",2)-IF($C$78="x",4)-IF($I$78="x",1)-IF($C$79="x",4)+IF($C$80="x",1)-IF($I$77="x",2)-IF($I$90="x",2)+IF($I$83="x",2)-IF($C$83="x",4)-$C$112+IF(H409="x",1)+I409+$M$77+IF(H411="x",1)+IF(J411="x",1)+IF($M$76="x",2)+J409+IF($M$85="x",1)+IF($M$113="x",1)+IF($M$120="x",2)+IF($M$119="x",2)+IF($M$105="x",1)+IF($M$110="x",1)+IF($M$111="x",2)+IF($M$112="x",4)+IF($M$108="x",1)-IF($M$109="x",1)+IF($M$99="x",20)-IF($M$99="x",1)+IF($M$90="x",1)-IF($C$97="x",2,8)
&amp;"/"&amp;SUM($C$3,$I$2)-$C$120+IF($C$75="x",2)+$I$16-$B$10+$M$94+IF($C$77="x",2)-IF($C$78="x",4)-IF($I$78="x",1)-IF($C$79="x",4)+IF($C$80="x",1)-IF($I$77="x",2)-IF($I$90="x",2)+IF($I$83="x",2)-IF($C$83="x",4)-$C$112-5+IF(H409="x",1)+I409+$M$77+IF(H411="x",1)+IF(J411="x",1)+IF($M$76="x",2)+J409+IF($M$85="x",1)+IF($M$113="x",1)+IF($M$120="x",2)+IF($M$119="x",2)+IF($M$105="x",1)+IF($M$110="x",1)+IF($M$111="x",2)+IF($M$112="x",4)+IF($M$108="x",1)-IF($M$109="x",1)-IF($M$99="x",1)+IF($M$90="x",1)-IF($C$97="x",4,10)
&amp;"/"&amp;SUM($C$3,$I$2)-$C$120+IF($C$75="x",2)+$I$16-$B$10+$M$94+IF($C$77="x",2)-IF($C$78="x",4)-IF($I$78="x",1)-IF($C$79="x",4)+IF($C$80="x",1)-IF($I$77="x",2)-IF($I$90="x",2)+IF($I$83="x",2)-IF($C$83="x",4)-$C$112-10+IF(H409="x",1)+I409+$M$77+IF(H411="x",1)+IF(J411="x",1)+IF($M$76="x",2)+J409+IF($M$85="x",1)+IF($M$113="x",1)+IF($M$120="x",2)+IF($M$119="x",2)+IF($M$105="x",1)+IF($M$110="x",1)+IF($M$111="x",2)+IF($M$112="x",4)+IF($M$108="x",1)-IF($M$109="x",1)-IF($M$99="x",1)+IF($M$90="x",1)-IF($C$97="x",2,8)))))</f>
        <v>-8</v>
      </c>
      <c r="C411" s="54" t="str">
        <f>_xlfn.IFS($C$7="Minimaalinen","–",$C$7="Taskukokoinen","1",$C$7="Hyvin pieni","1n2",$C$7="Pieni","1n3",$C$7="Keskikokoinen","1n4",$C$7="Iso","1n6",$C$7="Valtava","1n8",$C$7="Suunnaton","2n6",$C$7="Giganttinen","3n6")</f>
        <v>1n4</v>
      </c>
      <c r="D411" s="123">
        <f>INT($I$2/2)+($C$120)+I409+$M$77+IF(I411="x",2)+IF(K411="x",2)+IF($M$119="x",2)+IF($M$108="x",1)+$M$94-IF($M$109="x",1)+K409</f>
        <v>0</v>
      </c>
      <c r="E411" s="54" t="str">
        <f>_xlfn.IFS($C$7="Minimaalinen","–",$C$7="Taskukokoinen","2",$C$7="Hyvin pieni","2n2",$C$7="Pieni","2n3",$C$7="Keskikokoinen","2n4",$C$7="Iso","2n6",$C$7="Valtava","2n8",$C$7="Suunnaton","4n6",$C$7="Giganttinen","6n6")</f>
        <v>2n4</v>
      </c>
      <c r="F411" s="124">
        <f>SUM(D411*4)</f>
        <v>0</v>
      </c>
      <c r="G411" s="123" t="str">
        <f>(IF($I$89="x","50 %","")&amp;(IF($C$81="x","20 %",""))&amp;(IF($C$82="x","50 %","")))</f>
        <v/>
      </c>
      <c r="H411" s="28"/>
      <c r="I411" s="28"/>
      <c r="J411" s="28"/>
      <c r="K411" s="28"/>
    </row>
    <row r="412" spans="1:38" x14ac:dyDescent="0.2">
      <c r="B412" s="15"/>
      <c r="C412" s="15"/>
      <c r="D412" s="15"/>
      <c r="F412" s="15"/>
      <c r="G412" s="15"/>
      <c r="H412" s="15"/>
      <c r="I412" s="15"/>
      <c r="AB412" s="46"/>
      <c r="AC412" s="48"/>
      <c r="AD412" s="48"/>
      <c r="AE412" s="48"/>
      <c r="AF412" s="48"/>
      <c r="AG412" s="48"/>
      <c r="AH412" s="48"/>
      <c r="AI412" s="48"/>
      <c r="AJ412" s="48"/>
      <c r="AK412" s="48"/>
      <c r="AL412" s="48"/>
    </row>
    <row r="413" spans="1:38" x14ac:dyDescent="0.2">
      <c r="B413" s="15"/>
      <c r="C413" s="15"/>
      <c r="D413" s="15"/>
      <c r="F413" s="15"/>
      <c r="G413" s="15"/>
      <c r="H413" s="15"/>
      <c r="I413" s="15"/>
      <c r="AC413" s="41"/>
      <c r="AD413" s="49"/>
      <c r="AE413" s="41"/>
      <c r="AF413" s="49"/>
      <c r="AG413" s="40"/>
      <c r="AH413" s="40"/>
      <c r="AI413" s="40"/>
      <c r="AJ413" s="40"/>
      <c r="AK413" s="40"/>
      <c r="AL413" s="40"/>
    </row>
    <row r="414" spans="1:38" x14ac:dyDescent="0.2">
      <c r="A414" s="34" t="s">
        <v>251</v>
      </c>
      <c r="B414" s="11" t="s">
        <v>1</v>
      </c>
      <c r="C414" s="11" t="s">
        <v>2</v>
      </c>
      <c r="D414" s="11" t="s">
        <v>3</v>
      </c>
      <c r="E414" s="11" t="s">
        <v>229</v>
      </c>
      <c r="F414" s="11" t="s">
        <v>3</v>
      </c>
      <c r="G414" s="11" t="s">
        <v>45</v>
      </c>
      <c r="H414" s="14" t="s">
        <v>179</v>
      </c>
      <c r="I414" s="130" t="s">
        <v>242</v>
      </c>
      <c r="J414" s="130" t="s">
        <v>224</v>
      </c>
      <c r="K414" s="130" t="s">
        <v>225</v>
      </c>
      <c r="AB414" s="50"/>
      <c r="AC414" s="51"/>
      <c r="AD414" s="49"/>
      <c r="AE414" s="51"/>
      <c r="AF414" s="49"/>
      <c r="AG414" s="49"/>
      <c r="AH414" s="49"/>
      <c r="AI414" s="48"/>
      <c r="AJ414" s="48"/>
      <c r="AK414" s="48"/>
      <c r="AL414" s="48"/>
    </row>
    <row r="415" spans="1:38" x14ac:dyDescent="0.2">
      <c r="A415" s="15" t="s">
        <v>219</v>
      </c>
      <c r="B415" s="18">
        <f>_xlfn.IFS($C$3&lt;6,$C$3+IF($C$87="x",$I$3,$I$2)-$C$120+IF($C$75="x",2)+$I$16-$B$10+$M$94+IF($C$77="x",2)-IF($C$78="x",4)-IF($I$78="x",1)-IF($C$79="x",4)+IF($C$80="x",1)-IF($I$77="x",2)-IF($I$90="x",2)+IF($I$83="x",2)-IF($C$75="x",4)-$C$112+IF(H415="x",1)+I415+$M$77+IF(H417="x",1)+IF(J417="x",1)+IF($M$76="x",2)+J415+IF($M$85="x",1)+IF($M$113="x",1)+IF($M$120="x",2)+IF($M$119="x",2)+IF($M$105="x",1)+IF($M$110="x",1)+IF($M$111="x",2)+IF($M$112="x",4)+IF($M$108="x",1)-IF($M$109="x",1)-IF($M$99="x",1)+IF($M$90="x",1)-IF($I$85="x",4),
$C$3&lt;11,$C$3+IF($C$87="x",$I$3,$I$2)-$C$120+IF($C$75="x",2)+$I$16-$B$10+$M$94+IF($C$77="x",2)-IF($C$78="x",4)-IF($I$78="x",1)-IF($C$79="x",4)+IF($C$80="x",1)-IF($I$77="x",2)-IF($I$90="x",2)+IF($I$83="x",2)-IF($C$83="x",4)-$C$112+IF(H415="x",1)+I415+$M$77+IF(H417="x",1)+IF(J417="x",1)+IF($M$76="x",2)+J415+IF($M$85="x",1)+IF($M$113="x",1)+IF($M$120="x",2)+IF($M$119="x",2)+IF($M$105="x",1)+IF($M$110="x",1)+IF($M$111="x",2)+IF($M$112="x",4)+IF($M$108="x",1)-IF($M$109="x",1)-IF($M$99="x",1)+IF($M$90="x",1)-IF($I$85="x",4)
&amp;"/"&amp;$C$3+IF($C$87="x",$I$3,$I$2)-$C$120+IF($C$75="x",2)+$I$16-$B$10+$M$94+IF($C$77="x",2)-IF($C$78="x",4)-IF($I$78="x",1)-IF($C$79="x",4)+IF($C$80="x",1)-IF($I$77="x",2)-IF($I$90="x",2)+IF($I$83="x",2)-IF($C$83="x",4)-$C$112-5+IF(H415="x",1)+I415+$M$77+IF(H417="x",1)+IF(J417="x",1)+IF($M$76="x",2)+J415+IF($M$85="x",1)+IF($M$113="x",1)+IF($M$120="x",2)+IF($M$119="x",2)+IF($M$105="x",1)+IF($M$110="x",1)+IF($M$111="x",2)+IF($M$112="x",4)+IF($M$108="x",1)-IF($M$109="x",1)-IF($M$99="x",1)+IF($M$90="x",1)-IF($I$85="x",4),
$C$3&lt;16,$C$3+IF($C$87="x",$I$3,$I$2)-$C$120+IF($C$75="x",2)+$I$16-$B$10+$M$94+IF($C$77="x",2)-IF($C$78="x",4)-IF($I$78="x",1)-IF($C$79="x",4)+IF($C$80="x",1)-IF($I$77="x",2)-IF($I$90="x",2)+IF($I$83="x",2)-IF($C$83="x",4)-$C$112+IF(H415="x",1)+I415+$M$77+IF(H417="x",1)+IF(J417="x",1)+IF($M$76="x",2)+J415+IF($M$85="x",1)+IF($M$113="x",1)+IF($M$120="x",2)+IF($M$119="x",2)+IF($M$105="x",1)+IF($M$110="x",1)+IF($M$111="x",2)+IF($M$112="x",4)+IF($M$108="x",1)-IF($M$109="x",1)+IF($M$99="x",20)-IF($M$99="x",1)+IF($M$90="x",1)-IF($I$85="x",4)
&amp;"/"&amp;$C$3+IF($C$87="x",$I$3,$I$2)-$C$120+IF($C$75="x",2)+$I$16-$B$10+$M$94+IF($C$77="x",2)-IF($C$78="x",4)-IF($I$78="x",1)-IF($C$79="x",4)+IF($C$80="x",1)-IF($I$77="x",2)-IF($I$90="x",2)+IF($I$83="x",2)-IF($C$83="x",4)-$C$112-5+IF(H415="x",1)+I415+$M$77+IF(H417="x",1)+IF(J417="x",1)+IF($M$76="x",2)+J415+IF($M$85="x",1)+IF($M$113="x",1)+IF($M$120="x",2)+IF($M$119="x",2)+IF($M$105="x",1)+IF($M$110="x",1)+IF($M$111="x",2)+IF($M$112="x",4)+IF($M$108="x",1)-IF($M$109="x",1)-IF($M$99="x",1)+IF($M$90="x",1)-IF($I$85="x",4)
&amp;"/"&amp;$C$3+IF($C$87="x",$I$3,$I$2)-$C$120+IF($C$75="x",2)+$I$16-$B$10+$M$94+IF($C$77="x",2)-IF($C$78="x",4)-IF($I$78="x",1)-IF($C$79="x",4)+IF($C$80="x",1)-IF($I$77="x",2)-IF($I$90="x",2)+IF($I$83="x",2)-IF($C$83="x",4)-$C$112-10+IF(H415="x",1)+I415+$M$77+IF(H417="x",1)+IF(J417="x",1)+IF($M$76="x",2)+J415+IF($M$85="x",1)+IF($M$113="x",1)+IF($M$120="x",2)+IF($M$119="x",2)+IF($M$105="x",1)+IF($M$110="x",1)+IF($M$111="x",2)+IF($M$112="x",4)+IF($M$108="x",1)-IF($M$109="x",1)-IF($M$99="x",1)+IF($M$90="x",1)-IF($I$85="x",4),
$C$3&gt;15,$C$3+IF($C$87="x",$I$3,$I$2)-$C$120+IF($C$75="x",2)+$I$16-$B$10+$M$94+IF($C$77="x",2)-IF($C$78="x",4)-IF($I$78="x",1)-IF($C$79="x",4)+IF($C$80="x",1)-IF($I$77="x",2)-IF($I$90="x",2)+IF($I$83="x",2)-IF($C$83="x",4)-$C$112+IF(H415="x",1)+I415+$M$77+IF(H417="x",1)+IF(J417="x",1)+IF($M$76="x",2)+J415+IF($M$85="x",1)+IF($M$113="x",1)+IF($M$120="x",2)+IF($M$119="x",2)+IF($M$105="x",1)+IF($M$110="x",1)+IF($M$111="x",2)+IF($M$112="x",4)+IF($M$108="x",1)-IF($M$109="x",1)-IF($M$99="x",1)+IF($M$90="x",1)-IF($I$85="x",4)
&amp;"/"&amp;$C$3+IF($C$87="x",$I$3,$I$2)-$C$120+IF($C$75="x",2)+$I$16-$B$10+$M$94+IF($C$77="x",2)-IF($C$78="x",4)-IF($I$78="x",1)-IF($C$79="x",4)+IF($C$80="x",1)-IF($I$77="x",2)-IF($I$90="x",2)+IF($I$83="x",2)-IF($C$83="x",4)-$C$112-5+IF(H415="x",1)+I415+$M$77+IF(H417="x",1)+IF(J417="x",1)+IF($M$76="x",2)+J415+IF($M$85="x",1)+IF($M$113="x",1)+IF($M$120="x",2)+IF($M$119="x",2)+IF($M$105="x",1)+IF($M$110="x",1)+IF($M$111="x",2)+IF($M$112="x",4)+IF($M$108="x",1)-IF($M$109="x",1)-IF($M$99="x",1)+IF($M$90="x",1)-IF($I$85="x",4)
&amp;"/"&amp;$C$3+IF($C$87="x",$I$3,$I$2)-$C$120+IF($C$75="x",2)+$I$16-$B$10+$M$94+IF($C$77="x",2)-IF($C$78="x",4)-IF($I$78="x",1)-IF($C$79="x",4)+IF($C$80="x",1)-IF($I$77="x",2)-IF($I$90="x",2)+IF($I$83="x",2)-IF($C$83="x",4)-$C$112-10+IF(H415="x",1)+I415+$M$77+IF(H417="x",1)+IF(J417="x",1)+IF($M$76="x",2)+J415+IF($M$85="x",1)+IF($M$113="x",1)+IF($M$120="x",2)+IF($M$119="x",2)+IF($M$105="x",1)+IF($M$110="x",1)+IF($M$111="x",2)+IF($M$112="x",4)+IF($M$108="x",1)-IF($M$109="x",1)-IF($M$99="x",1)+IF($M$90="x",1)-IF($I$85="x",4)
&amp;"/"&amp;$C$3+IF($C$87="x",$I$3,$I$2)-$C$120+IF($C$75="x",2)+$I$16-$B$10+$M$94+IF($C$77="x",2)-IF($C$78="x",4)-IF($I$78="x",1)-IF($C$79="x",4)+IF($C$80="x",1)-IF($I$77="x",2)-IF($I$90="x",2)+IF($I$83="x",2)-IF($C$83="x",4)-$C$112-15+IF(H415="x",1)+I415+$M$77+IF(H417="x",1)+IF(J417="x",1)+IF($M$76="x",2)+J415+IF($M$85="x",1)+IF($M$113="x",1)+IF($M$120="x",2)+IF($M$119="x",2)+IF($M$105="x",1)+IF($M$110="x",1)+IF($M$111="x",2)+IF($M$112="x",4)+IF($M$108="x",1)-IF($M$109="x",1)-IF($M$99="x",1)+IF($M$90="x",1)-IF($I$85="x",4))</f>
        <v>0</v>
      </c>
      <c r="C415" s="40" t="str">
        <f>_xlfn.IFS($C$7="Minimaalinen","–",$C$7="Taskukokoinen","–",$C$7="Hyvin pieni","1",$C$7="Pieni","1n2",$C$7="Keskikokoinen","1n3",$C$7="Iso","1n4",$C$7="Valtava","1n6",$C$7="Suunnaton","1n8",$C$7="Giganttinen","2n6")</f>
        <v>1n3</v>
      </c>
      <c r="D415" s="18">
        <f>SUM($I$2+$C$120)+I415+$M$77+IF(I417="x",2)+IF(K417="x",2)+IF($M$119="x",2)+IF($M$108="x",1)+$M$94-IF($M$109="x",1)+K415</f>
        <v>0</v>
      </c>
      <c r="E415" s="40" t="str">
        <f>_xlfn.IFS($C$7="Minimaalinen","–",$C$7="Taskukokoinen","–",$C$7="Hyvin pieni","2",$C$7="Pieni","2n2",$C$7="Keskikokoinen","2n3",$C$7="Iso","2n4",$C$7="Valtava","2n6",$C$7="Suunnaton","2n8",$C$7="Giganttinen","4n6")</f>
        <v>2n3</v>
      </c>
      <c r="F415" s="12">
        <f>SUM(D415*2)</f>
        <v>0</v>
      </c>
      <c r="G415" s="12" t="str">
        <f>(IF($I$89="x","50 %","")&amp;(IF($C$81="x","20 %",""))&amp;(IF($C$82="x","50 %",""&amp;IF($M$91="x","50 % (5 j 20 %)",""&amp;IF($M$115="x","50 % (5 j 20 %)","")))))</f>
        <v/>
      </c>
      <c r="H415" s="28"/>
      <c r="I415" s="17">
        <v>0</v>
      </c>
      <c r="J415" s="17">
        <v>0</v>
      </c>
      <c r="K415" s="17">
        <v>0</v>
      </c>
      <c r="AB415" s="52"/>
      <c r="AC415" s="53"/>
      <c r="AD415" s="53"/>
      <c r="AE415" s="53"/>
      <c r="AF415" s="53"/>
      <c r="AG415" s="54"/>
      <c r="AH415" s="53"/>
      <c r="AI415" s="40"/>
      <c r="AJ415" s="40"/>
      <c r="AK415" s="40"/>
      <c r="AL415" s="40"/>
    </row>
    <row r="416" spans="1:38" x14ac:dyDescent="0.2">
      <c r="A416" s="25" t="s">
        <v>435</v>
      </c>
      <c r="B416" s="121">
        <f>_xlfn.IFS($C$3&lt;6,$C$3+IF($C$87="x",$I$3,$I$2)-$C$120+IF($C$75="x",2)+$I$16-$B$10+$M$94+IF($C$77="x",2)-IF($C$78="x",4)-IF($I$78="x",1)-IF($C$79="x",4)+IF($C$80="x",1)-IF($I$77="x",2)-IF($I$90="x",2)+IF($I$83="x",2)-IF($C$75="x",4)-$C$112+IF(H415="x",1)+I415+$M$77+IF(H417="x",1)+IF(J417="x",1)+IF($M$76="x",2)+J415+IF($M$85="x",1)+IF($M$113="x",1)+IF($M$120="x",2)+IF($M$119="x",2)+IF($M$105="x",1)+IF($M$110="x",1)+IF($M$111="x",2)+IF($M$112="x",4)+IF($M$108="x",1)-IF($M$109="x",1)-IF($M$99="x",1)+IF($M$90="x",1)-IF($I$85="x",4)-IF($C$97="x",2,4),
$C$3&lt;11,$C$3+IF($C$87="x",$I$3,$I$2)-$C$120+IF($C$75="x",2)+$I$16-$B$10+$M$94+IF($C$77="x",2)-IF($C$78="x",4)-IF($I$78="x",1)-IF($C$79="x",4)+IF($C$80="x",1)-IF($I$77="x",2)-IF($I$90="x",2)+IF($I$83="x",2)-IF($C$83="x",4)-$C$112+IF(H415="x",1)+I415+$M$77+IF(H417="x",1)+IF(J417="x",1)+IF($M$76="x",2)+J415+IF($M$85="x",1)+IF($M$113="x",1)+IF($M$120="x",2)+IF($M$119="x",2)+IF($M$105="x",1)+IF($M$110="x",1)+IF($M$111="x",2)+IF($M$112="x",4)+IF($M$108="x",1)-IF($M$109="x",1)-IF($M$99="x",1)+IF($M$90="x",1)-IF($I$85="x",4)-IF($C$97="x",2,4)
&amp;"/"&amp;$C$3+IF($C$87="x",$I$3,$I$2)-$C$120+IF($C$75="x",2)+$I$16-$B$10+$M$94+IF($C$77="x",2)-IF($C$78="x",4)-IF($I$78="x",1)-IF($C$79="x",4)+IF($C$80="x",1)-IF($I$77="x",2)-IF($I$90="x",2)+IF($I$83="x",2)-IF($C$83="x",4)-$C$112-5+IF(H415="x",1)+I415+$M$77+IF(H417="x",1)+IF(J417="x",1)+IF($M$76="x",2)+J415+IF($M$85="x",1)+IF($M$113="x",1)+IF($M$120="x",2)+IF($M$119="x",2)+IF($M$105="x",1)+IF($M$110="x",1)+IF($M$111="x",2)+IF($M$112="x",4)+IF($M$108="x",1)-IF($M$109="x",1)-IF($M$99="x",1)+IF($M$90="x",1)-IF($I$85="x",4)-IF($C$97="x",2,4),
$C$3&lt;16,$C$3+IF($C$87="x",$I$3,$I$2)-$C$120+IF($C$75="x",2)+$I$16-$B$10+$M$94+IF($C$77="x",2)-IF($C$78="x",4)-IF($I$78="x",1)-IF($C$79="x",4)+IF($C$80="x",1)-IF($I$77="x",2)-IF($I$90="x",2)+IF($I$83="x",2)-IF($C$83="x",4)-$C$112+IF(H415="x",1)+I415+$M$77+IF(H417="x",1)+IF(J417="x",1)+IF($M$76="x",2)+J415+IF($M$85="x",1)+IF($M$113="x",1)+IF($M$120="x",2)+IF($M$119="x",2)+IF($M$105="x",1)+IF($M$110="x",1)+IF($M$111="x",2)+IF($M$112="x",4)+IF($M$108="x",1)-IF($M$109="x",1)+IF($M$99="x",20)-IF($M$99="x",1)+IF($M$90="x",1)-IF($I$85="x",4)-IF($C$97="x",2,4)
&amp;"/"&amp;$C$3+IF($C$87="x",$I$3,$I$2)-$C$120+IF($C$75="x",2)+$I$16-$B$10+$M$94+IF($C$77="x",2)-IF($C$78="x",4)-IF($I$78="x",1)-IF($C$79="x",4)+IF($C$80="x",1)-IF($I$77="x",2)-IF($I$90="x",2)+IF($I$83="x",2)-IF($C$83="x",4)-$C$112-5+IF(H415="x",1)+I415+$M$77+IF(H417="x",1)+IF(J417="x",1)+IF($M$76="x",2)+J415+IF($M$85="x",1)+IF($M$113="x",1)+IF($M$120="x",2)+IF($M$119="x",2)+IF($M$105="x",1)+IF($M$110="x",1)+IF($M$111="x",2)+IF($M$112="x",4)+IF($M$108="x",1)-IF($M$109="x",1)-IF($M$99="x",1)+IF($M$90="x",1)-IF($I$85="x",4)-IF($C$97="x",2,4)
&amp;"/"&amp;$C$3+IF($C$87="x",$I$3,$I$2)-$C$120+IF($C$75="x",2)+$I$16-$B$10+$M$94+IF($C$77="x",2)-IF($C$78="x",4)-IF($I$78="x",1)-IF($C$79="x",4)+IF($C$80="x",1)-IF($I$77="x",2)-IF($I$90="x",2)+IF($I$83="x",2)-IF($C$83="x",4)-$C$112-10+IF(H415="x",1)+I415+$M$77+IF(H417="x",1)+IF(J417="x",1)+IF($M$76="x",2)+J415+IF($M$85="x",1)+IF($M$113="x",1)+IF($M$120="x",2)+IF($M$119="x",2)+IF($M$105="x",1)+IF($M$110="x",1)+IF($M$111="x",2)+IF($M$112="x",4)+IF($M$108="x",1)-IF($M$109="x",1)-IF($M$99="x",1)+IF($M$90="x",1)-IF($I$85="x",4)-IF($C$97="x",2,4),
$C$3&gt;15,$C$3+IF($C$87="x",$I$3,$I$2)-$C$120+IF($C$75="x",2)+$I$16-$B$10+$M$94+IF($C$77="x",2)-IF($C$78="x",4)-IF($I$78="x",1)-IF($C$79="x",4)+IF($C$80="x",1)-IF($I$77="x",2)-IF($I$90="x",2)+IF($I$83="x",2)-IF($C$83="x",4)-$C$112+IF(H415="x",1)+I415+$M$77+IF(H417="x",1)+IF(J417="x",1)+IF($M$76="x",2)+J415+IF($M$85="x",1)+IF($M$113="x",1)+IF($M$120="x",2)+IF($M$119="x",2)+IF($M$105="x",1)+IF($M$110="x",1)+IF($M$111="x",2)+IF($M$112="x",4)+IF($M$108="x",1)-IF($M$109="x",1)-IF($M$99="x",1)+IF($M$90="x",1)-IF($I$85="x",4)-IF($C$97="x",2,4)
&amp;"/"&amp;$C$3+IF($C$87="x",$I$3,$I$2)-$C$120+IF($C$75="x",2)+$I$16-$B$10+$M$94+IF($C$77="x",2)-IF($C$78="x",4)-IF($I$78="x",1)-IF($C$79="x",4)+IF($C$80="x",1)-IF($I$77="x",2)-IF($I$90="x",2)+IF($I$83="x",2)-IF($C$83="x",4)-$C$112-5+IF(H415="x",1)+I415+$M$77+IF(H417="x",1)+IF(J417="x",1)+IF($M$76="x",2)+J415+IF($M$85="x",1)+IF($M$113="x",1)+IF($M$120="x",2)+IF($M$119="x",2)+IF($M$105="x",1)+IF($M$110="x",1)+IF($M$111="x",2)+IF($M$112="x",4)+IF($M$108="x",1)-IF($M$109="x",1)-IF($M$99="x",1)+IF($M$90="x",1)-IF($I$85="x",4)-IF($C$97="x",2,4)
&amp;"/"&amp;$C$3+IF($C$87="x",$I$3,$I$2)-$C$120+IF($C$75="x",2)+$I$16-$B$10+$M$94+IF($C$77="x",2)-IF($C$78="x",4)-IF($I$78="x",1)-IF($C$79="x",4)+IF($C$80="x",1)-IF($I$77="x",2)-IF($I$90="x",2)+IF($I$83="x",2)-IF($C$83="x",4)-$C$112-10+IF(H415="x",1)+I415+$M$77+IF(H417="x",1)+IF(J417="x",1)+IF($M$76="x",2)+J415+IF($M$85="x",1)+IF($M$113="x",1)+IF($M$120="x",2)+IF($M$119="x",2)+IF($M$105="x",1)+IF($M$110="x",1)+IF($M$111="x",2)+IF($M$112="x",4)+IF($M$108="x",1)-IF($M$109="x",1)-IF($M$99="x",1)+IF($M$90="x",1)-IF($I$85="x",4)-IF($C$97="x",2,4)
&amp;"/"&amp;$C$3+IF($C$87="x",$I$3,$I$2)-$C$120+IF($C$75="x",2)+$I$16-$B$10+$M$94+IF($C$77="x",2)-IF($C$78="x",4)-IF($I$78="x",1)-IF($C$79="x",4)+IF($C$80="x",1)-IF($I$77="x",2)-IF($I$90="x",2)+IF($I$83="x",2)-IF($C$83="x",4)-$C$112-15+IF(H415="x",1)+I415+$M$77+IF(H417="x",1)+IF(J417="x",1)+IF($M$76="x",2)+J415+IF($M$85="x",1)+IF($M$113="x",1)+IF($M$120="x",2)+IF($M$119="x",2)+IF($M$105="x",1)+IF($M$110="x",1)+IF($M$111="x",2)+IF($M$112="x",4)+IF($M$108="x",1)-IF($M$109="x",1)-IF($M$99="x",1)+IF($M$90="x",1)-IF($I$85="x",4)-IF($C$97="x",2,4))</f>
        <v>-4</v>
      </c>
      <c r="C416" s="40" t="str">
        <f>_xlfn.IFS($C$7="Minimaalinen","–",$C$7="Taskukokoinen","–",$C$7="Hyvin pieni","1",$C$7="Pieni","1n2",$C$7="Keskikokoinen","1n3",$C$7="Iso","1n4",$C$7="Valtava","1n6",$C$7="Suunnaton","1n8",$C$7="Giganttinen","2n6")</f>
        <v>1n3</v>
      </c>
      <c r="D416" s="121">
        <f>SUM($I$2+$C$120)+I415+$M$77+IF(I417="x",2)+IF(K417="x",2)+IF($M$119="x",2)+IF($M$108="x",1)+$M$94-IF($M$109="x",1)+K415</f>
        <v>0</v>
      </c>
      <c r="E416" s="40" t="str">
        <f>_xlfn.IFS($C$7="Minimaalinen","–",$C$7="Taskukokoinen","–",$C$7="Hyvin pieni","2",$C$7="Pieni","2n2",$C$7="Keskikokoinen","2n3",$C$7="Iso","2n4",$C$7="Valtava","2n6",$C$7="Suunnaton","2n8",$C$7="Giganttinen","4n6")</f>
        <v>2n3</v>
      </c>
      <c r="F416" s="82">
        <f>SUM(D416*2)</f>
        <v>0</v>
      </c>
      <c r="G416" s="82" t="str">
        <f>(IF($I$89="x","50 %","")&amp;(IF($C$81="x","20 %",""))&amp;(IF($C$82="x","50 %","")))</f>
        <v/>
      </c>
      <c r="H416" s="14" t="s">
        <v>220</v>
      </c>
      <c r="I416" s="14" t="s">
        <v>221</v>
      </c>
      <c r="J416" s="14" t="s">
        <v>222</v>
      </c>
      <c r="K416" s="14" t="s">
        <v>223</v>
      </c>
      <c r="AB416" s="55"/>
      <c r="AC416" s="50"/>
      <c r="AD416" s="56"/>
      <c r="AE416" s="56"/>
      <c r="AF416" s="56"/>
      <c r="AG416" s="56"/>
      <c r="AH416" s="56"/>
      <c r="AI416" s="48"/>
      <c r="AJ416" s="57"/>
      <c r="AK416" s="57"/>
      <c r="AL416" s="57"/>
    </row>
    <row r="417" spans="1:38" x14ac:dyDescent="0.2">
      <c r="A417" s="122" t="s">
        <v>436</v>
      </c>
      <c r="B417" s="123">
        <f>IF($I$85="x","PAINISSA",IF(AND($C$90="",$C$118=""),SUM($C$3,$I$2)-$C$120+IF($C$75="x",2)+$I$16-$B$10+$M$94+IF($C$77="x",2)-IF($C$78="x",4)-IF($I$78="x",1)-IF($C$79="x",4)+IF($C$80="x",1)-IF($I$77="x",2)-IF($I$90="x",2)+IF($I$83="x",2)-IF($C$75="x",4)-$C$112+IF(H415="x",1)+I415+$M$77+IF(H417="x",1)+IF(J417="x",1)+IF($M$76="x",2)+J415+IF($M$85="x",1)+IF($M$113="x",1)+IF($M$120="x",2)+IF($M$119="x",2)+IF($M$105="x",1)+IF($M$110="x",1)+IF($M$111="x",2)+IF($M$112="x",4)+IF($M$108="x",1)-IF($M$109="x",1)-IF($M$99="x",1)+IF($M$90="x",1)-IF($C$97="x",2,8),
IF(AND($C$90="x",$C$118=""),SUM($C$3,$I$2)-$C$120+IF($C$75="x",2)+$I$16-$B$10+$M$94+IF($C$77="x",2)-IF($C$78="x",4)-IF($I$78="x",1)-IF($C$79="x",4)+IF($C$80="x",1)-IF($I$77="x",2)-IF($I$90="x",2)+IF($I$83="x",2)-IF($C$83="x",4)-$C$112+IF(H415="x",1)+I415+$M$77+IF(H417="x",1)+IF(J417="x",1)+IF($M$76="x",2)+J415+IF($M$85="x",1)+IF($M$113="x",1)+IF($M$120="x",2)+IF($M$119="x",2)+IF($M$105="x",1)+IF($M$110="x",1)+IF($M$111="x",2)+IF($M$112="x",4)+IF($M$108="x",1)-IF($M$109="x",1)-IF($M$99="x",1)+IF($M$90="x",1)-IF($C$97="x",2,8)
&amp;"/"&amp;SUM($C$3,$I$2)-$C$120+IF($C$75="x",2)+$I$16-$B$10+$M$94+IF($C$77="x",2)-IF($C$78="x",4)-IF($I$78="x",1)-IF($C$79="x",4)+IF($C$80="x",1)-IF($I$77="x",2)-IF($I$90="x",2)+IF($I$83="x",2)-IF($C$83="x",4)-$C$112+IF(H415="x",1)+I415+$M$77+IF(H417="x",1)+IF(J417="x",1)+IF($M$76="x",2)+J415+IF($M$85="x",1)+IF($M$113="x",1)+IF($M$120="x",2)+IF($M$119="x",2)+IF($M$105="x",1)+IF($M$110="x",1)+IF($M$111="x",2)+IF($M$112="x",4)+IF($M$108="x",1)-IF($M$109="x",1)-IF($M$99="x",1)+IF($M$90="x",1)-IF($C$97="x",2,8)-5,
IF(AND($C$90="x",$C$118="x"),SUM($C$3,$I$2)-$C$120+IF($C$75="x",2)+$I$16-$B$10+$M$94+IF($C$77="x",2)-IF($C$78="x",4)-IF($I$78="x",1)-IF($C$79="x",4)+IF($C$80="x",1)-IF($I$77="x",2)-IF($I$90="x",2)+IF($I$83="x",2)-IF($C$83="x",4)-$C$112+IF(H415="x",1)+I415+$M$77+IF(H417="x",1)+IF(J417="x",1)+IF($M$76="x",2)+J415+IF($M$85="x",1)+IF($M$113="x",1)+IF($M$120="x",2)+IF($M$119="x",2)+IF($M$105="x",1)+IF($M$110="x",1)+IF($M$111="x",2)+IF($M$112="x",4)+IF($M$108="x",1)-IF($M$109="x",1)+IF($M$99="x",20)-IF($M$99="x",1)+IF($M$90="x",1)-IF($C$97="x",2,8)
&amp;"/"&amp;SUM($C$3,$I$2)-$C$120+IF($C$75="x",2)+$I$16-$B$10+$M$94+IF($C$77="x",2)-IF($C$78="x",4)-IF($I$78="x",1)-IF($C$79="x",4)+IF($C$80="x",1)-IF($I$77="x",2)-IF($I$90="x",2)+IF($I$83="x",2)-IF($C$83="x",4)-$C$112-5+IF(H415="x",1)+I415+$M$77+IF(H417="x",1)+IF(J417="x",1)+IF($M$76="x",2)+J415+IF($M$85="x",1)+IF($M$113="x",1)+IF($M$120="x",2)+IF($M$119="x",2)+IF($M$105="x",1)+IF($M$110="x",1)+IF($M$111="x",2)+IF($M$112="x",4)+IF($M$108="x",1)-IF($M$109="x",1)-IF($M$99="x",1)+IF($M$90="x",1)-IF($C$97="x",4,10)
&amp;"/"&amp;SUM($C$3,$I$2)-$C$120+IF($C$75="x",2)+$I$16-$B$10+$M$94+IF($C$77="x",2)-IF($C$78="x",4)-IF($I$78="x",1)-IF($C$79="x",4)+IF($C$80="x",1)-IF($I$77="x",2)-IF($I$90="x",2)+IF($I$83="x",2)-IF($C$83="x",4)-$C$112-10+IF(H415="x",1)+I415+$M$77+IF(H417="x",1)+IF(J417="x",1)+IF($M$76="x",2)+J415+IF($M$85="x",1)+IF($M$113="x",1)+IF($M$120="x",2)+IF($M$119="x",2)+IF($M$105="x",1)+IF($M$110="x",1)+IF($M$111="x",2)+IF($M$112="x",4)+IF($M$108="x",1)-IF($M$109="x",1)-IF($M$99="x",1)+IF($M$90="x",1)-IF($C$97="x",2,8)))))</f>
        <v>-8</v>
      </c>
      <c r="C417" s="54" t="str">
        <f>_xlfn.IFS($C$7="Minimaalinen","–",$C$7="Taskukokoinen","–",$C$7="Hyvin pieni","1",$C$7="Pieni","1n2",$C$7="Keskikokoinen","1n3",$C$7="Iso","1n4",$C$7="Valtava","1n6",$C$7="Suunnaton","1n8",$C$7="Giganttinen","2n6")</f>
        <v>1n3</v>
      </c>
      <c r="D417" s="123">
        <f>INT($I$2/2)+($C$120)+I415+$M$77+IF(I417="x",2)+IF(K417="x",2)+IF($M$119="x",2)+IF($M$108="x",1)+$M$94-IF($M$109="x",1)+K415</f>
        <v>0</v>
      </c>
      <c r="E417" s="54" t="str">
        <f>_xlfn.IFS($C$7="Minimaalinen","–",$C$7="Taskukokoinen","–",$C$7="Hyvin pieni","2",$C$7="Pieni","2n2",$C$7="Keskikokoinen","2n3",$C$7="Iso","2n4",$C$7="Valtava","2n6",$C$7="Suunnaton","2n8",$C$7="Giganttinen","4n6")</f>
        <v>2n3</v>
      </c>
      <c r="F417" s="124">
        <f>SUM(D417*2)</f>
        <v>0</v>
      </c>
      <c r="G417" s="123" t="str">
        <f>(IF($I$89="x","50 %","")&amp;(IF($C$81="x","20 %",""))&amp;(IF($C$82="x","50 %","")))</f>
        <v/>
      </c>
      <c r="H417" s="28"/>
      <c r="I417" s="28"/>
      <c r="J417" s="28"/>
      <c r="K417" s="28"/>
      <c r="AB417" s="59"/>
      <c r="AC417" s="51"/>
      <c r="AD417" s="49"/>
      <c r="AE417" s="51"/>
      <c r="AF417" s="49"/>
      <c r="AG417" s="49"/>
      <c r="AH417" s="49"/>
      <c r="AI417" s="40"/>
      <c r="AJ417" s="60"/>
      <c r="AK417" s="57"/>
      <c r="AL417" s="61"/>
    </row>
    <row r="418" spans="1:38" x14ac:dyDescent="0.2">
      <c r="A418" s="50"/>
      <c r="B418" s="50"/>
      <c r="C418" s="50"/>
      <c r="D418" s="50"/>
      <c r="E418" s="50"/>
      <c r="F418" s="50"/>
      <c r="G418" s="50"/>
      <c r="H418" s="50"/>
      <c r="I418" s="50"/>
      <c r="J418" s="50"/>
      <c r="K418" s="50"/>
      <c r="AB418" s="62"/>
      <c r="AC418" s="53"/>
      <c r="AD418" s="61"/>
      <c r="AE418" s="63"/>
      <c r="AF418" s="61"/>
      <c r="AG418" s="61"/>
      <c r="AH418" s="53"/>
      <c r="AI418" s="56"/>
      <c r="AJ418" s="56"/>
      <c r="AK418" s="56"/>
      <c r="AL418" s="56"/>
    </row>
    <row r="419" spans="1:38" x14ac:dyDescent="0.2">
      <c r="A419" s="50"/>
      <c r="B419" s="50"/>
      <c r="C419" s="50"/>
      <c r="D419" s="50"/>
      <c r="E419" s="50"/>
      <c r="F419" s="50"/>
      <c r="G419" s="50"/>
      <c r="H419" s="50"/>
      <c r="I419" s="50"/>
      <c r="J419" s="50"/>
      <c r="K419" s="50"/>
      <c r="AB419" s="59"/>
      <c r="AC419" s="51"/>
      <c r="AD419" s="61"/>
      <c r="AE419" s="63"/>
      <c r="AF419" s="61"/>
      <c r="AG419" s="61"/>
      <c r="AH419" s="49"/>
      <c r="AI419" s="56"/>
      <c r="AJ419" s="56"/>
      <c r="AK419" s="56"/>
      <c r="AL419" s="56"/>
    </row>
    <row r="420" spans="1:38" x14ac:dyDescent="0.2">
      <c r="A420" s="34" t="s">
        <v>298</v>
      </c>
      <c r="B420" s="11" t="s">
        <v>1</v>
      </c>
      <c r="C420" s="11" t="s">
        <v>2</v>
      </c>
      <c r="D420" s="11" t="s">
        <v>3</v>
      </c>
      <c r="E420" s="11" t="s">
        <v>229</v>
      </c>
      <c r="F420" s="11" t="s">
        <v>3</v>
      </c>
      <c r="G420" s="11" t="s">
        <v>45</v>
      </c>
      <c r="H420" s="14" t="s">
        <v>179</v>
      </c>
      <c r="I420" s="130" t="s">
        <v>242</v>
      </c>
      <c r="J420" s="130" t="s">
        <v>224</v>
      </c>
      <c r="K420" s="130" t="s">
        <v>225</v>
      </c>
      <c r="AB420" s="62"/>
      <c r="AC420" s="53"/>
      <c r="AD420" s="61"/>
      <c r="AE420" s="63"/>
      <c r="AF420" s="61"/>
      <c r="AG420" s="61"/>
      <c r="AH420" s="53"/>
      <c r="AI420" s="56"/>
      <c r="AJ420" s="56"/>
      <c r="AK420" s="56"/>
      <c r="AL420" s="56"/>
    </row>
    <row r="421" spans="1:38" x14ac:dyDescent="0.2">
      <c r="A421" s="15" t="s">
        <v>219</v>
      </c>
      <c r="B421" s="18">
        <f>_xlfn.IFS($C$3&lt;6,$C$3+IF($C$87="x",$I$3,$I$2)-$C$120+IF($C$75="x",2)+$I$16-$B$10+$M$94+IF($C$77="x",2)-IF($C$78="x",4)-IF($I$78="x",1)-IF($C$79="x",4)+IF($C$80="x",1)-IF($I$77="x",2)-IF($I$90="x",2)+IF($I$83="x",2)-IF($C$75="x",4)-$C$112+IF(H421="x",1)+I421+$M$77+IF(H423="x",1)+IF(J423="x",1)+IF($M$76="x",2)+J421+IF($M$85="x",1)+IF($M$113="x",1)+IF($M$120="x",2)+IF($M$119="x",2)+IF($M$105="x",1)+IF($M$110="x",1)+IF($M$111="x",2)+IF($M$112="x",4)+IF($M$108="x",1)-IF($M$109="x",1)-IF($M$99="x",1)+IF($M$90="x",1)-IF($I$85="x",4),
$C$3&lt;11,$C$3+IF($C$87="x",$I$3,$I$2)-$C$120+IF($C$75="x",2)+$I$16-$B$10+$M$94+IF($C$77="x",2)-IF($C$78="x",4)-IF($I$78="x",1)-IF($C$79="x",4)+IF($C$80="x",1)-IF($I$77="x",2)-IF($I$90="x",2)+IF($I$83="x",2)-IF($C$83="x",4)-$C$112+IF(H421="x",1)+I421+$M$77+IF(H423="x",1)+IF(J423="x",1)+IF($M$76="x",2)+J421+IF($M$85="x",1)+IF($M$113="x",1)+IF($M$120="x",2)+IF($M$119="x",2)+IF($M$105="x",1)+IF($M$110="x",1)+IF($M$111="x",2)+IF($M$112="x",4)+IF($M$108="x",1)-IF($M$109="x",1)-IF($M$99="x",1)+IF($M$90="x",1)-IF($I$85="x",4)
&amp;"/"&amp;$C$3+IF($C$87="x",$I$3,$I$2)-$C$120+IF($C$75="x",2)+$I$16-$B$10+$M$94+IF($C$77="x",2)-IF($C$78="x",4)-IF($I$78="x",1)-IF($C$79="x",4)+IF($C$80="x",1)-IF($I$77="x",2)-IF($I$90="x",2)+IF($I$83="x",2)-IF($C$83="x",4)-$C$112-5+IF(H421="x",1)+I421+$M$77+IF(H423="x",1)+IF(J423="x",1)+IF($M$76="x",2)+J421+IF($M$85="x",1)+IF($M$113="x",1)+IF($M$120="x",2)+IF($M$119="x",2)+IF($M$105="x",1)+IF($M$110="x",1)+IF($M$111="x",2)+IF($M$112="x",4)+IF($M$108="x",1)-IF($M$109="x",1)-IF($M$99="x",1)+IF($M$90="x",1)-IF($I$85="x",4),
$C$3&lt;16,$C$3+IF($C$87="x",$I$3,$I$2)-$C$120+IF($C$75="x",2)+$I$16-$B$10+$M$94+IF($C$77="x",2)-IF($C$78="x",4)-IF($I$78="x",1)-IF($C$79="x",4)+IF($C$80="x",1)-IF($I$77="x",2)-IF($I$90="x",2)+IF($I$83="x",2)-IF($C$83="x",4)-$C$112+IF(H421="x",1)+I421+$M$77+IF(H423="x",1)+IF(J423="x",1)+IF($M$76="x",2)+J421+IF($M$85="x",1)+IF($M$113="x",1)+IF($M$120="x",2)+IF($M$119="x",2)+IF($M$105="x",1)+IF($M$110="x",1)+IF($M$111="x",2)+IF($M$112="x",4)+IF($M$108="x",1)-IF($M$109="x",1)+IF($M$99="x",20)-IF($M$99="x",1)+IF($M$90="x",1)-IF($I$85="x",4)
&amp;"/"&amp;$C$3+IF($C$87="x",$I$3,$I$2)-$C$120+IF($C$75="x",2)+$I$16-$B$10+$M$94+IF($C$77="x",2)-IF($C$78="x",4)-IF($I$78="x",1)-IF($C$79="x",4)+IF($C$80="x",1)-IF($I$77="x",2)-IF($I$90="x",2)+IF($I$83="x",2)-IF($C$83="x",4)-$C$112-5+IF(H421="x",1)+I421+$M$77+IF(H423="x",1)+IF(J423="x",1)+IF($M$76="x",2)+J421+IF($M$85="x",1)+IF($M$113="x",1)+IF($M$120="x",2)+IF($M$119="x",2)+IF($M$105="x",1)+IF($M$110="x",1)+IF($M$111="x",2)+IF($M$112="x",4)+IF($M$108="x",1)-IF($M$109="x",1)-IF($M$99="x",1)+IF($M$90="x",1)-IF($I$85="x",4)
&amp;"/"&amp;$C$3+IF($C$87="x",$I$3,$I$2)-$C$120+IF($C$75="x",2)+$I$16-$B$10+$M$94+IF($C$77="x",2)-IF($C$78="x",4)-IF($I$78="x",1)-IF($C$79="x",4)+IF($C$80="x",1)-IF($I$77="x",2)-IF($I$90="x",2)+IF($I$83="x",2)-IF($C$83="x",4)-$C$112-10+IF(H421="x",1)+I421+$M$77+IF(H423="x",1)+IF(J423="x",1)+IF($M$76="x",2)+J421+IF($M$85="x",1)+IF($M$113="x",1)+IF($M$120="x",2)+IF($M$119="x",2)+IF($M$105="x",1)+IF($M$110="x",1)+IF($M$111="x",2)+IF($M$112="x",4)+IF($M$108="x",1)-IF($M$109="x",1)-IF($M$99="x",1)+IF($M$90="x",1)-IF($I$85="x",4),
$C$3&gt;15,$C$3+IF($C$87="x",$I$3,$I$2)-$C$120+IF($C$75="x",2)+$I$16-$B$10+$M$94+IF($C$77="x",2)-IF($C$78="x",4)-IF($I$78="x",1)-IF($C$79="x",4)+IF($C$80="x",1)-IF($I$77="x",2)-IF($I$90="x",2)+IF($I$83="x",2)-IF($C$83="x",4)-$C$112+IF(H421="x",1)+I421+$M$77+IF(H423="x",1)+IF(J423="x",1)+IF($M$76="x",2)+J421+IF($M$85="x",1)+IF($M$113="x",1)+IF($M$120="x",2)+IF($M$119="x",2)+IF($M$105="x",1)+IF($M$110="x",1)+IF($M$111="x",2)+IF($M$112="x",4)+IF($M$108="x",1)-IF($M$109="x",1)-IF($M$99="x",1)+IF($M$90="x",1)-IF($I$85="x",4)
&amp;"/"&amp;$C$3+IF($C$87="x",$I$3,$I$2)-$C$120+IF($C$75="x",2)+$I$16-$B$10+$M$94+IF($C$77="x",2)-IF($C$78="x",4)-IF($I$78="x",1)-IF($C$79="x",4)+IF($C$80="x",1)-IF($I$77="x",2)-IF($I$90="x",2)+IF($I$83="x",2)-IF($C$83="x",4)-$C$112-5+IF(H421="x",1)+I421+$M$77+IF(H423="x",1)+IF(J423="x",1)+IF($M$76="x",2)+J421+IF($M$85="x",1)+IF($M$113="x",1)+IF($M$120="x",2)+IF($M$119="x",2)+IF($M$105="x",1)+IF($M$110="x",1)+IF($M$111="x",2)+IF($M$112="x",4)+IF($M$108="x",1)-IF($M$109="x",1)-IF($M$99="x",1)+IF($M$90="x",1)-IF($I$85="x",4)
&amp;"/"&amp;$C$3+IF($C$87="x",$I$3,$I$2)-$C$120+IF($C$75="x",2)+$I$16-$B$10+$M$94+IF($C$77="x",2)-IF($C$78="x",4)-IF($I$78="x",1)-IF($C$79="x",4)+IF($C$80="x",1)-IF($I$77="x",2)-IF($I$90="x",2)+IF($I$83="x",2)-IF($C$83="x",4)-$C$112-10+IF(H421="x",1)+I421+$M$77+IF(H423="x",1)+IF(J423="x",1)+IF($M$76="x",2)+J421+IF($M$85="x",1)+IF($M$113="x",1)+IF($M$120="x",2)+IF($M$119="x",2)+IF($M$105="x",1)+IF($M$110="x",1)+IF($M$111="x",2)+IF($M$112="x",4)+IF($M$108="x",1)-IF($M$109="x",1)-IF($M$99="x",1)+IF($M$90="x",1)-IF($I$85="x",4)
&amp;"/"&amp;$C$3+IF($C$87="x",$I$3,$I$2)-$C$120+IF($C$75="x",2)+$I$16-$B$10+$M$94+IF($C$77="x",2)-IF($C$78="x",4)-IF($I$78="x",1)-IF($C$79="x",4)+IF($C$80="x",1)-IF($I$77="x",2)-IF($I$90="x",2)+IF($I$83="x",2)-IF($C$83="x",4)-$C$112-15+IF(H421="x",1)+I421+$M$77+IF(H423="x",1)+IF(J423="x",1)+IF($M$76="x",2)+J421+IF($M$85="x",1)+IF($M$113="x",1)+IF($M$120="x",2)+IF($M$119="x",2)+IF($M$105="x",1)+IF($M$110="x",1)+IF($M$111="x",2)+IF($M$112="x",4)+IF($M$108="x",1)-IF($M$109="x",1)-IF($M$99="x",1)+IF($M$90="x",1)-IF($I$85="x",4))</f>
        <v>0</v>
      </c>
      <c r="C421" s="49" t="str">
        <f>_xlfn.IFS($C$7="Minimaalinen","–",$C$7="Taskukokoinen","1",$C$7="Hyvin pieni","1n2",$C$7="Pieni","1n3",$C$7="Keskikokoinen","1n4",$C$7="Iso","1n6",$C$7="Valtava","1n8",$C$7="Suunnaton","2n6",$C$7="Giganttinen","3n6")</f>
        <v>1n4</v>
      </c>
      <c r="D421" s="18">
        <f>SUM($I$2+$C$120)+I421+$M$77+IF(I423="x",2)+IF(K423="x",2)+IF($M$119="x",2)+IF($M$108="x",1)+$M$94-IF($M$109="x",1)+K421</f>
        <v>0</v>
      </c>
      <c r="E421" s="49" t="str">
        <f>_xlfn.IFS($C$7="Minimaalinen","–",$C$7="Taskukokoinen","2",$C$7="Hyvin pieni","2n2",$C$7="Pieni","2n3",$C$7="Keskikokoinen","2n4",$C$7="Iso","2n6",$C$7="Valtava","2n8",$C$7="Suunnaton","4n6",$C$7="Giganttinen","6n6")</f>
        <v>2n4</v>
      </c>
      <c r="F421" s="12">
        <f>SUM(D421*2)</f>
        <v>0</v>
      </c>
      <c r="G421" s="12" t="str">
        <f>(IF($I$89="x","50 %","")&amp;(IF($C$81="x","20 %",""))&amp;(IF($C$82="x","50 %",""&amp;IF($M$91="x","50 % (5 j 20 %)",""&amp;IF($M$115="x","50 % (5 j 20 %)","")))))</f>
        <v/>
      </c>
      <c r="H421" s="28"/>
      <c r="I421" s="17">
        <v>0</v>
      </c>
      <c r="J421" s="17">
        <v>0</v>
      </c>
      <c r="K421" s="17">
        <v>0</v>
      </c>
      <c r="AB421" s="59"/>
      <c r="AC421" s="51"/>
      <c r="AD421" s="61"/>
      <c r="AE421" s="63"/>
      <c r="AF421" s="61"/>
      <c r="AG421" s="61"/>
      <c r="AH421" s="49"/>
      <c r="AI421" s="57"/>
      <c r="AJ421" s="57"/>
      <c r="AK421" s="57"/>
      <c r="AL421" s="57"/>
    </row>
    <row r="422" spans="1:38" x14ac:dyDescent="0.2">
      <c r="A422" s="25" t="s">
        <v>435</v>
      </c>
      <c r="B422" s="121">
        <f>_xlfn.IFS($C$3&lt;6,$C$3+IF($C$87="x",$I$3,$I$2)-$C$120+IF($C$75="x",2)+$I$16-$B$10+$M$94+IF($C$77="x",2)-IF($C$78="x",4)-IF($I$78="x",1)-IF($C$79="x",4)+IF($C$80="x",1)-IF($I$77="x",2)-IF($I$90="x",2)+IF($I$83="x",2)-IF($C$75="x",4)-$C$112+IF(H421="x",1)+I421+$M$77+IF(H423="x",1)+IF(J423="x",1)+IF($M$76="x",2)+J421+IF($M$85="x",1)+IF($M$113="x",1)+IF($M$120="x",2)+IF($M$119="x",2)+IF($M$105="x",1)+IF($M$110="x",1)+IF($M$111="x",2)+IF($M$112="x",4)+IF($M$108="x",1)-IF($M$109="x",1)-IF($M$99="x",1)+IF($M$90="x",1)-IF($I$85="x",4)-IF($C$97="x",2,4),
$C$3&lt;11,$C$3+IF($C$87="x",$I$3,$I$2)-$C$120+IF($C$75="x",2)+$I$16-$B$10+$M$94+IF($C$77="x",2)-IF($C$78="x",4)-IF($I$78="x",1)-IF($C$79="x",4)+IF($C$80="x",1)-IF($I$77="x",2)-IF($I$90="x",2)+IF($I$83="x",2)-IF($C$83="x",4)-$C$112+IF(H421="x",1)+I421+$M$77+IF(H423="x",1)+IF(J423="x",1)+IF($M$76="x",2)+J421+IF($M$85="x",1)+IF($M$113="x",1)+IF($M$120="x",2)+IF($M$119="x",2)+IF($M$105="x",1)+IF($M$110="x",1)+IF($M$111="x",2)+IF($M$112="x",4)+IF($M$108="x",1)-IF($M$109="x",1)-IF($M$99="x",1)+IF($M$90="x",1)-IF($I$85="x",4)-IF($C$97="x",2,4)
&amp;"/"&amp;$C$3+IF($C$87="x",$I$3,$I$2)-$C$120+IF($C$75="x",2)+$I$16-$B$10+$M$94+IF($C$77="x",2)-IF($C$78="x",4)-IF($I$78="x",1)-IF($C$79="x",4)+IF($C$80="x",1)-IF($I$77="x",2)-IF($I$90="x",2)+IF($I$83="x",2)-IF($C$83="x",4)-$C$112-5+IF(H421="x",1)+I421+$M$77+IF(H423="x",1)+IF(J423="x",1)+IF($M$76="x",2)+J421+IF($M$85="x",1)+IF($M$113="x",1)+IF($M$120="x",2)+IF($M$119="x",2)+IF($M$105="x",1)+IF($M$110="x",1)+IF($M$111="x",2)+IF($M$112="x",4)+IF($M$108="x",1)-IF($M$109="x",1)-IF($M$99="x",1)+IF($M$90="x",1)-IF($I$85="x",4)-IF($C$97="x",2,4),
$C$3&lt;16,$C$3+IF($C$87="x",$I$3,$I$2)-$C$120+IF($C$75="x",2)+$I$16-$B$10+$M$94+IF($C$77="x",2)-IF($C$78="x",4)-IF($I$78="x",1)-IF($C$79="x",4)+IF($C$80="x",1)-IF($I$77="x",2)-IF($I$90="x",2)+IF($I$83="x",2)-IF($C$83="x",4)-$C$112+IF(H421="x",1)+I421+$M$77+IF(H423="x",1)+IF(J423="x",1)+IF($M$76="x",2)+J421+IF($M$85="x",1)+IF($M$113="x",1)+IF($M$120="x",2)+IF($M$119="x",2)+IF($M$105="x",1)+IF($M$110="x",1)+IF($M$111="x",2)+IF($M$112="x",4)+IF($M$108="x",1)-IF($M$109="x",1)+IF($M$99="x",20)-IF($M$99="x",1)+IF($M$90="x",1)-IF($I$85="x",4)-IF($C$97="x",2,4)
&amp;"/"&amp;$C$3+IF($C$87="x",$I$3,$I$2)-$C$120+IF($C$75="x",2)+$I$16-$B$10+$M$94+IF($C$77="x",2)-IF($C$78="x",4)-IF($I$78="x",1)-IF($C$79="x",4)+IF($C$80="x",1)-IF($I$77="x",2)-IF($I$90="x",2)+IF($I$83="x",2)-IF($C$83="x",4)-$C$112-5+IF(H421="x",1)+I421+$M$77+IF(H423="x",1)+IF(J423="x",1)+IF($M$76="x",2)+J421+IF($M$85="x",1)+IF($M$113="x",1)+IF($M$120="x",2)+IF($M$119="x",2)+IF($M$105="x",1)+IF($M$110="x",1)+IF($M$111="x",2)+IF($M$112="x",4)+IF($M$108="x",1)-IF($M$109="x",1)-IF($M$99="x",1)+IF($M$90="x",1)-IF($I$85="x",4)-IF($C$97="x",2,4)
&amp;"/"&amp;$C$3+IF($C$87="x",$I$3,$I$2)-$C$120+IF($C$75="x",2)+$I$16-$B$10+$M$94+IF($C$77="x",2)-IF($C$78="x",4)-IF($I$78="x",1)-IF($C$79="x",4)+IF($C$80="x",1)-IF($I$77="x",2)-IF($I$90="x",2)+IF($I$83="x",2)-IF($C$83="x",4)-$C$112-10+IF(H421="x",1)+I421+$M$77+IF(H423="x",1)+IF(J423="x",1)+IF($M$76="x",2)+J421+IF($M$85="x",1)+IF($M$113="x",1)+IF($M$120="x",2)+IF($M$119="x",2)+IF($M$105="x",1)+IF($M$110="x",1)+IF($M$111="x",2)+IF($M$112="x",4)+IF($M$108="x",1)-IF($M$109="x",1)-IF($M$99="x",1)+IF($M$90="x",1)-IF($I$85="x",4)-IF($C$97="x",2,4),
$C$3&gt;15,$C$3+IF($C$87="x",$I$3,$I$2)-$C$120+IF($C$75="x",2)+$I$16-$B$10+$M$94+IF($C$77="x",2)-IF($C$78="x",4)-IF($I$78="x",1)-IF($C$79="x",4)+IF($C$80="x",1)-IF($I$77="x",2)-IF($I$90="x",2)+IF($I$83="x",2)-IF($C$83="x",4)-$C$112+IF(H421="x",1)+I421+$M$77+IF(H423="x",1)+IF(J423="x",1)+IF($M$76="x",2)+J421+IF($M$85="x",1)+IF($M$113="x",1)+IF($M$120="x",2)+IF($M$119="x",2)+IF($M$105="x",1)+IF($M$110="x",1)+IF($M$111="x",2)+IF($M$112="x",4)+IF($M$108="x",1)-IF($M$109="x",1)-IF($M$99="x",1)+IF($M$90="x",1)-IF($I$85="x",4)-IF($C$97="x",2,4)
&amp;"/"&amp;$C$3+IF($C$87="x",$I$3,$I$2)-$C$120+IF($C$75="x",2)+$I$16-$B$10+$M$94+IF($C$77="x",2)-IF($C$78="x",4)-IF($I$78="x",1)-IF($C$79="x",4)+IF($C$80="x",1)-IF($I$77="x",2)-IF($I$90="x",2)+IF($I$83="x",2)-IF($C$83="x",4)-$C$112-5+IF(H421="x",1)+I421+$M$77+IF(H423="x",1)+IF(J423="x",1)+IF($M$76="x",2)+J421+IF($M$85="x",1)+IF($M$113="x",1)+IF($M$120="x",2)+IF($M$119="x",2)+IF($M$105="x",1)+IF($M$110="x",1)+IF($M$111="x",2)+IF($M$112="x",4)+IF($M$108="x",1)-IF($M$109="x",1)-IF($M$99="x",1)+IF($M$90="x",1)-IF($I$85="x",4)-IF($C$97="x",2,4)
&amp;"/"&amp;$C$3+IF($C$87="x",$I$3,$I$2)-$C$120+IF($C$75="x",2)+$I$16-$B$10+$M$94+IF($C$77="x",2)-IF($C$78="x",4)-IF($I$78="x",1)-IF($C$79="x",4)+IF($C$80="x",1)-IF($I$77="x",2)-IF($I$90="x",2)+IF($I$83="x",2)-IF($C$83="x",4)-$C$112-10+IF(H421="x",1)+I421+$M$77+IF(H423="x",1)+IF(J423="x",1)+IF($M$76="x",2)+J421+IF($M$85="x",1)+IF($M$113="x",1)+IF($M$120="x",2)+IF($M$119="x",2)+IF($M$105="x",1)+IF($M$110="x",1)+IF($M$111="x",2)+IF($M$112="x",4)+IF($M$108="x",1)-IF($M$109="x",1)-IF($M$99="x",1)+IF($M$90="x",1)-IF($I$85="x",4)-IF($C$97="x",2,4)
&amp;"/"&amp;$C$3+IF($C$87="x",$I$3,$I$2)-$C$120+IF($C$75="x",2)+$I$16-$B$10+$M$94+IF($C$77="x",2)-IF($C$78="x",4)-IF($I$78="x",1)-IF($C$79="x",4)+IF($C$80="x",1)-IF($I$77="x",2)-IF($I$90="x",2)+IF($I$83="x",2)-IF($C$83="x",4)-$C$112-15+IF(H421="x",1)+I421+$M$77+IF(H423="x",1)+IF(J423="x",1)+IF($M$76="x",2)+J421+IF($M$85="x",1)+IF($M$113="x",1)+IF($M$120="x",2)+IF($M$119="x",2)+IF($M$105="x",1)+IF($M$110="x",1)+IF($M$111="x",2)+IF($M$112="x",4)+IF($M$108="x",1)-IF($M$109="x",1)-IF($M$99="x",1)+IF($M$90="x",1)-IF($I$85="x",4)-IF($C$97="x",2,4))</f>
        <v>-4</v>
      </c>
      <c r="C422" s="49" t="str">
        <f>_xlfn.IFS($C$7="Minimaalinen","–",$C$7="Taskukokoinen","1",$C$7="Hyvin pieni","1n2",$C$7="Pieni","1n3",$C$7="Keskikokoinen","1n4",$C$7="Iso","1n6",$C$7="Valtava","1n8",$C$7="Suunnaton","2n6",$C$7="Giganttinen","3n6")</f>
        <v>1n4</v>
      </c>
      <c r="D422" s="121">
        <f>SUM($I$2+$C$120)+I421+$M$77+IF(I423="x",2)+IF(K423="x",2)+IF($M$119="x",2)+IF($M$108="x",1)+$M$94-IF($M$109="x",1)+K421</f>
        <v>0</v>
      </c>
      <c r="E422" s="49" t="str">
        <f>_xlfn.IFS($C$7="Minimaalinen","–",$C$7="Taskukokoinen","2",$C$7="Hyvin pieni","2n2",$C$7="Pieni","2n3",$C$7="Keskikokoinen","2n4",$C$7="Iso","2n6",$C$7="Valtava","2n8",$C$7="Suunnaton","4n6",$C$7="Giganttinen","6n6")</f>
        <v>2n4</v>
      </c>
      <c r="F422" s="82">
        <f>SUM(D422*2)</f>
        <v>0</v>
      </c>
      <c r="G422" s="82" t="str">
        <f>(IF($I$89="x","50 %","")&amp;(IF($C$81="x","20 %",""))&amp;(IF($C$82="x","50 %","")))</f>
        <v/>
      </c>
      <c r="H422" s="14" t="s">
        <v>220</v>
      </c>
      <c r="I422" s="14" t="s">
        <v>221</v>
      </c>
      <c r="J422" s="14" t="s">
        <v>222</v>
      </c>
      <c r="K422" s="14" t="s">
        <v>223</v>
      </c>
    </row>
    <row r="423" spans="1:38" x14ac:dyDescent="0.2">
      <c r="A423" s="122" t="s">
        <v>436</v>
      </c>
      <c r="B423" s="123">
        <f>IF($I$85="x","PAINISSA",IF(AND($C$90="",$C$118=""),SUM($C$3,$I$2)-$C$120+IF($C$75="x",2)+$I$16-$B$10+$M$94+IF($C$77="x",2)-IF($C$78="x",4)-IF($I$78="x",1)-IF($C$79="x",4)+IF($C$80="x",1)-IF($I$77="x",2)-IF($I$90="x",2)+IF($I$83="x",2)-IF($C$75="x",4)-$C$112+IF(H393="x",1)+I393+$M$77+IF(H395="x",1)+IF(J395="x",1)+IF($M$76="x",2)+J393+IF($M$85="x",1)+IF($M$113="x",1)+IF($M$120="x",2)+IF($M$119="x",2)+IF($M$105="x",1)+IF($M$110="x",1)+IF($M$111="x",2)+IF($M$112="x",4)+IF($M$108="x",1)-IF($M$109="x",1)-IF($M$99="x",1)+IF($M$90="x",1)-IF($C$97="x",2,8),
IF(AND($C$90="x",$C$118=""),SUM($C$3,$I$2)-$C$120+IF($C$75="x",2)+$I$16-$B$10+$M$94+IF($C$77="x",2)-IF($C$78="x",4)-IF($I$78="x",1)-IF($C$79="x",4)+IF($C$80="x",1)-IF($I$77="x",2)-IF($I$90="x",2)+IF($I$83="x",2)-IF($C$83="x",4)-$C$112+IF(H393="x",1)+I393+$M$77+IF(H395="x",1)+IF(J395="x",1)+IF($M$76="x",2)+J393+IF($M$85="x",1)+IF($M$113="x",1)+IF($M$120="x",2)+IF($M$119="x",2)+IF($M$105="x",1)+IF($M$110="x",1)+IF($M$111="x",2)+IF($M$112="x",4)+IF($M$108="x",1)-IF($M$109="x",1)-IF($M$99="x",1)+IF($M$90="x",1)-IF($C$97="x",2,8)
&amp;"/"&amp;SUM($C$3,$I$2)-$C$120+IF($C$75="x",2)+$I$16-$B$10+$M$94+IF($C$77="x",2)-IF($C$78="x",4)-IF($I$78="x",1)-IF($C$79="x",4)+IF($C$80="x",1)-IF($I$77="x",2)-IF($I$90="x",2)+IF($I$83="x",2)-IF($C$83="x",4)-$C$112+IF(H393="x",1)+I393+$M$77+IF(H395="x",1)+IF(J395="x",1)+IF($M$76="x",2)+J393+IF($M$85="x",1)+IF($M$113="x",1)+IF($M$120="x",2)+IF($M$119="x",2)+IF($M$105="x",1)+IF($M$110="x",1)+IF($M$111="x",2)+IF($M$112="x",4)+IF($M$108="x",1)-IF($M$109="x",1)-IF($M$99="x",1)+IF($M$90="x",1)-IF($C$97="x",2,8)-5,
IF(AND($C$90="x",$C$118="x"),SUM($C$3,$I$2)-$C$120+IF($C$75="x",2)+$I$16-$B$10+$M$94+IF($C$77="x",2)-IF($C$78="x",4)-IF($I$78="x",1)-IF($C$79="x",4)+IF($C$80="x",1)-IF($I$77="x",2)-IF($I$90="x",2)+IF($I$83="x",2)-IF($C$83="x",4)-$C$112+IF(H393="x",1)+I393+$M$77+IF(H395="x",1)+IF(J395="x",1)+IF($M$76="x",2)+J393+IF($M$85="x",1)+IF($M$113="x",1)+IF($M$120="x",2)+IF($M$119="x",2)+IF($M$105="x",1)+IF($M$110="x",1)+IF($M$111="x",2)+IF($M$112="x",4)+IF($M$108="x",1)-IF($M$109="x",1)+IF($M$99="x",20)-IF($M$99="x",1)+IF($M$90="x",1)-IF($C$97="x",2,8)
&amp;"/"&amp;SUM($C$3,$I$2)-$C$120+IF($C$75="x",2)+$I$16-$B$10+$M$94+IF($C$77="x",2)-IF($C$78="x",4)-IF($I$78="x",1)-IF($C$79="x",4)+IF($C$80="x",1)-IF($I$77="x",2)-IF($I$90="x",2)+IF($I$83="x",2)-IF($C$83="x",4)-$C$112-5+IF(H393="x",1)+I393+$M$77+IF(H395="x",1)+IF(J395="x",1)+IF($M$76="x",2)+J393+IF($M$85="x",1)+IF($M$113="x",1)+IF($M$120="x",2)+IF($M$119="x",2)+IF($M$105="x",1)+IF($M$110="x",1)+IF($M$111="x",2)+IF($M$112="x",4)+IF($M$108="x",1)-IF($M$109="x",1)-IF($M$99="x",1)+IF($M$90="x",1)-IF($C$97="x",4,10)
&amp;"/"&amp;SUM($C$3,$I$2)-$C$120+IF($C$75="x",2)+$I$16-$B$10+$M$94+IF($C$77="x",2)-IF($C$78="x",4)-IF($I$78="x",1)-IF($C$79="x",4)+IF($C$80="x",1)-IF($I$77="x",2)-IF($I$90="x",2)+IF($I$83="x",2)-IF($C$83="x",4)-$C$112-10+IF(H393="x",1)+I393+$M$77+IF(H395="x",1)+IF(J395="x",1)+IF($M$76="x",2)+J393+IF($M$85="x",1)+IF($M$113="x",1)+IF($M$120="x",2)+IF($M$119="x",2)+IF($M$105="x",1)+IF($M$110="x",1)+IF($M$111="x",2)+IF($M$112="x",4)+IF($M$108="x",1)-IF($M$109="x",1)-IF($M$99="x",1)+IF($M$90="x",1)-IF($C$97="x",2,8)))))</f>
        <v>-8</v>
      </c>
      <c r="C423" s="54" t="str">
        <f>_xlfn.IFS($C$7="Minimaalinen","–",$C$7="Taskukokoinen","1",$C$7="Hyvin pieni","1n2",$C$7="Pieni","1n3",$C$7="Keskikokoinen","1n4",$C$7="Iso","1n6",$C$7="Valtava","1n8",$C$7="Suunnaton","2n6",$C$7="Giganttinen","3n6")</f>
        <v>1n4</v>
      </c>
      <c r="D423" s="123">
        <f>INT($I$2/2)+($C$120)+I421+$M$77+IF(I423="x",2)+IF(K423="x",2)+IF($M$119="x",2)+IF($M$108="x",1)+$M$94-IF($M$109="x",1)+K421</f>
        <v>0</v>
      </c>
      <c r="E423" s="54" t="str">
        <f>_xlfn.IFS($C$7="Minimaalinen","–",$C$7="Taskukokoinen","2",$C$7="Hyvin pieni","2n2",$C$7="Pieni","2n3",$C$7="Keskikokoinen","2n4",$C$7="Iso","2n6",$C$7="Valtava","2n8",$C$7="Suunnaton","4n6",$C$7="Giganttinen","6n6")</f>
        <v>2n4</v>
      </c>
      <c r="F423" s="124">
        <f>SUM(D423*2)</f>
        <v>0</v>
      </c>
      <c r="G423" s="123" t="str">
        <f>(IF($I$89="x","50 %","")&amp;(IF($C$81="x","20 %",""))&amp;(IF($C$82="x","50 %","")))</f>
        <v/>
      </c>
      <c r="H423" s="28"/>
      <c r="I423" s="28"/>
      <c r="J423" s="28"/>
      <c r="K423" s="28"/>
      <c r="AB423" s="46"/>
      <c r="AC423" s="48"/>
      <c r="AD423" s="48"/>
      <c r="AE423" s="48"/>
      <c r="AF423" s="48"/>
      <c r="AG423" s="48"/>
      <c r="AH423" s="48"/>
      <c r="AI423" s="48"/>
      <c r="AJ423" s="48"/>
      <c r="AK423" s="48"/>
      <c r="AL423" s="48"/>
    </row>
    <row r="424" spans="1:38" x14ac:dyDescent="0.2">
      <c r="A424" s="45"/>
      <c r="B424" s="45"/>
      <c r="C424" s="45"/>
      <c r="D424" s="45"/>
      <c r="E424" s="45"/>
      <c r="F424" s="45"/>
      <c r="G424" s="45"/>
      <c r="H424" s="45"/>
      <c r="I424" s="45"/>
      <c r="J424" s="45"/>
      <c r="K424" s="45"/>
      <c r="AB424" s="46"/>
      <c r="AC424" s="48"/>
      <c r="AD424" s="48"/>
      <c r="AE424" s="48"/>
      <c r="AF424" s="48"/>
      <c r="AG424" s="48"/>
      <c r="AH424" s="48"/>
      <c r="AI424" s="48"/>
      <c r="AJ424" s="48"/>
      <c r="AK424" s="48"/>
      <c r="AL424" s="48"/>
    </row>
    <row r="425" spans="1:38" x14ac:dyDescent="0.2">
      <c r="A425" s="45"/>
      <c r="B425" s="45"/>
      <c r="C425" s="45"/>
      <c r="D425" s="45"/>
      <c r="E425" s="45"/>
      <c r="F425" s="45"/>
      <c r="G425" s="45"/>
      <c r="H425" s="45"/>
      <c r="I425" s="45"/>
      <c r="J425" s="45"/>
      <c r="K425" s="45"/>
      <c r="AC425" s="41"/>
      <c r="AD425" s="49"/>
      <c r="AE425" s="41"/>
      <c r="AF425" s="49"/>
      <c r="AG425" s="40"/>
      <c r="AH425" s="40"/>
      <c r="AI425" s="40"/>
      <c r="AJ425" s="40"/>
      <c r="AK425" s="40"/>
      <c r="AL425" s="40"/>
    </row>
    <row r="426" spans="1:38" x14ac:dyDescent="0.2">
      <c r="A426" s="10" t="s">
        <v>290</v>
      </c>
      <c r="B426" s="11" t="s">
        <v>1</v>
      </c>
      <c r="C426" s="11" t="s">
        <v>2</v>
      </c>
      <c r="D426" s="11" t="s">
        <v>3</v>
      </c>
      <c r="E426" s="11" t="s">
        <v>229</v>
      </c>
      <c r="F426" s="11" t="s">
        <v>3</v>
      </c>
      <c r="G426" s="11" t="s">
        <v>45</v>
      </c>
      <c r="H426" s="14" t="s">
        <v>179</v>
      </c>
      <c r="I426" s="130" t="s">
        <v>242</v>
      </c>
      <c r="J426" s="130" t="s">
        <v>224</v>
      </c>
      <c r="K426" s="130" t="s">
        <v>225</v>
      </c>
      <c r="AB426" s="50"/>
      <c r="AC426" s="51"/>
      <c r="AD426" s="49"/>
      <c r="AE426" s="51"/>
      <c r="AF426" s="49"/>
      <c r="AG426" s="49"/>
      <c r="AH426" s="49"/>
      <c r="AI426" s="48"/>
      <c r="AJ426" s="48"/>
      <c r="AK426" s="48"/>
      <c r="AL426" s="48"/>
    </row>
    <row r="427" spans="1:38" x14ac:dyDescent="0.2">
      <c r="A427" s="15" t="s">
        <v>219</v>
      </c>
      <c r="B427" s="18">
        <f>_xlfn.IFS($C$3&lt;6,$C$3+IF($C$87="x",$I$3,$I$2)-$C$120+IF($C$75="x",2)+$I$16-$B$10+$M$94+IF($C$77="x",2)-IF($C$78="x",4)-IF($I$78="x",1)-IF($C$79="x",4)+IF($C$80="x",1)-IF($I$77="x",2)-IF($I$90="x",2)+IF($I$83="x",2)-IF($C$75="x",4)-$C$112+IF(H427="x",1)+I427+$M$77+IF(H429="x",1)+IF(J429="x",1)+IF($M$76="x",2)+J427+IF($M$85="x",1)+IF($M$113="x",1)+IF($M$120="x",2)+IF($M$119="x",2)+IF($M$105="x",1)+IF($M$110="x",1)+IF($M$111="x",2)+IF($M$112="x",4)+IF($M$108="x",1)-IF($M$109="x",1)-IF($M$99="x",1)+IF($M$90="x",1)-IF($I$85="x",4),
$C$3&lt;11,$C$3+IF($C$87="x",$I$3,$I$2)-$C$120+IF($C$75="x",2)+$I$16-$B$10+$M$94+IF($C$77="x",2)-IF($C$78="x",4)-IF($I$78="x",1)-IF($C$79="x",4)+IF($C$80="x",1)-IF($I$77="x",2)-IF($I$90="x",2)+IF($I$83="x",2)-IF($C$83="x",4)-$C$112+IF(H427="x",1)+I427+$M$77+IF(H429="x",1)+IF(J429="x",1)+IF($M$76="x",2)+J427+IF($M$85="x",1)+IF($M$113="x",1)+IF($M$120="x",2)+IF($M$119="x",2)+IF($M$105="x",1)+IF($M$110="x",1)+IF($M$111="x",2)+IF($M$112="x",4)+IF($M$108="x",1)-IF($M$109="x",1)-IF($M$99="x",1)+IF($M$90="x",1)-IF($I$85="x",4)
&amp;"/"&amp;$C$3+IF($C$87="x",$I$3,$I$2)-$C$120+IF($C$75="x",2)+$I$16-$B$10+$M$94+IF($C$77="x",2)-IF($C$78="x",4)-IF($I$78="x",1)-IF($C$79="x",4)+IF($C$80="x",1)-IF($I$77="x",2)-IF($I$90="x",2)+IF($I$83="x",2)-IF($C$83="x",4)-$C$112-5+IF(H427="x",1)+I427+$M$77+IF(H429="x",1)+IF(J429="x",1)+IF($M$76="x",2)+J427+IF($M$85="x",1)+IF($M$113="x",1)+IF($M$120="x",2)+IF($M$119="x",2)+IF($M$105="x",1)+IF($M$110="x",1)+IF($M$111="x",2)+IF($M$112="x",4)+IF($M$108="x",1)-IF($M$109="x",1)-IF($M$99="x",1)+IF($M$90="x",1)-IF($I$85="x",4),
$C$3&lt;16,$C$3+IF($C$87="x",$I$3,$I$2)-$C$120+IF($C$75="x",2)+$I$16-$B$10+$M$94+IF($C$77="x",2)-IF($C$78="x",4)-IF($I$78="x",1)-IF($C$79="x",4)+IF($C$80="x",1)-IF($I$77="x",2)-IF($I$90="x",2)+IF($I$83="x",2)-IF($C$83="x",4)-$C$112+IF(H427="x",1)+I427+$M$77+IF(H429="x",1)+IF(J429="x",1)+IF($M$76="x",2)+J427+IF($M$85="x",1)+IF($M$113="x",1)+IF($M$120="x",2)+IF($M$119="x",2)+IF($M$105="x",1)+IF($M$110="x",1)+IF($M$111="x",2)+IF($M$112="x",4)+IF($M$108="x",1)-IF($M$109="x",1)+IF($M$99="x",20)-IF($M$99="x",1)+IF($M$90="x",1)-IF($I$85="x",4)
&amp;"/"&amp;$C$3+IF($C$87="x",$I$3,$I$2)-$C$120+IF($C$75="x",2)+$I$16-$B$10+$M$94+IF($C$77="x",2)-IF($C$78="x",4)-IF($I$78="x",1)-IF($C$79="x",4)+IF($C$80="x",1)-IF($I$77="x",2)-IF($I$90="x",2)+IF($I$83="x",2)-IF($C$83="x",4)-$C$112-5+IF(H427="x",1)+I427+$M$77+IF(H429="x",1)+IF(J429="x",1)+IF($M$76="x",2)+J427+IF($M$85="x",1)+IF($M$113="x",1)+IF($M$120="x",2)+IF($M$119="x",2)+IF($M$105="x",1)+IF($M$110="x",1)+IF($M$111="x",2)+IF($M$112="x",4)+IF($M$108="x",1)-IF($M$109="x",1)-IF($M$99="x",1)+IF($M$90="x",1)-IF($I$85="x",4)
&amp;"/"&amp;$C$3+IF($C$87="x",$I$3,$I$2)-$C$120+IF($C$75="x",2)+$I$16-$B$10+$M$94+IF($C$77="x",2)-IF($C$78="x",4)-IF($I$78="x",1)-IF($C$79="x",4)+IF($C$80="x",1)-IF($I$77="x",2)-IF($I$90="x",2)+IF($I$83="x",2)-IF($C$83="x",4)-$C$112-10+IF(H427="x",1)+I427+$M$77+IF(H429="x",1)+IF(J429="x",1)+IF($M$76="x",2)+J427+IF($M$85="x",1)+IF($M$113="x",1)+IF($M$120="x",2)+IF($M$119="x",2)+IF($M$105="x",1)+IF($M$110="x",1)+IF($M$111="x",2)+IF($M$112="x",4)+IF($M$108="x",1)-IF($M$109="x",1)-IF($M$99="x",1)+IF($M$90="x",1)-IF($I$85="x",4),
$C$3&gt;15,$C$3+IF($C$87="x",$I$3,$I$2)-$C$120+IF($C$75="x",2)+$I$16-$B$10+$M$94+IF($C$77="x",2)-IF($C$78="x",4)-IF($I$78="x",1)-IF($C$79="x",4)+IF($C$80="x",1)-IF($I$77="x",2)-IF($I$90="x",2)+IF($I$83="x",2)-IF($C$83="x",4)-$C$112+IF(H427="x",1)+I427+$M$77+IF(H429="x",1)+IF(J429="x",1)+IF($M$76="x",2)+J427+IF($M$85="x",1)+IF($M$113="x",1)+IF($M$120="x",2)+IF($M$119="x",2)+IF($M$105="x",1)+IF($M$110="x",1)+IF($M$111="x",2)+IF($M$112="x",4)+IF($M$108="x",1)-IF($M$109="x",1)-IF($M$99="x",1)+IF($M$90="x",1)-IF($I$85="x",4)
&amp;"/"&amp;$C$3+IF($C$87="x",$I$3,$I$2)-$C$120+IF($C$75="x",2)+$I$16-$B$10+$M$94+IF($C$77="x",2)-IF($C$78="x",4)-IF($I$78="x",1)-IF($C$79="x",4)+IF($C$80="x",1)-IF($I$77="x",2)-IF($I$90="x",2)+IF($I$83="x",2)-IF($C$83="x",4)-$C$112-5+IF(H427="x",1)+I427+$M$77+IF(H429="x",1)+IF(J429="x",1)+IF($M$76="x",2)+J427+IF($M$85="x",1)+IF($M$113="x",1)+IF($M$120="x",2)+IF($M$119="x",2)+IF($M$105="x",1)+IF($M$110="x",1)+IF($M$111="x",2)+IF($M$112="x",4)+IF($M$108="x",1)-IF($M$109="x",1)-IF($M$99="x",1)+IF($M$90="x",1)-IF($I$85="x",4)
&amp;"/"&amp;$C$3+IF($C$87="x",$I$3,$I$2)-$C$120+IF($C$75="x",2)+$I$16-$B$10+$M$94+IF($C$77="x",2)-IF($C$78="x",4)-IF($I$78="x",1)-IF($C$79="x",4)+IF($C$80="x",1)-IF($I$77="x",2)-IF($I$90="x",2)+IF($I$83="x",2)-IF($C$83="x",4)-$C$112-10+IF(H427="x",1)+I427+$M$77+IF(H429="x",1)+IF(J429="x",1)+IF($M$76="x",2)+J427+IF($M$85="x",1)+IF($M$113="x",1)+IF($M$120="x",2)+IF($M$119="x",2)+IF($M$105="x",1)+IF($M$110="x",1)+IF($M$111="x",2)+IF($M$112="x",4)+IF($M$108="x",1)-IF($M$109="x",1)-IF($M$99="x",1)+IF($M$90="x",1)-IF($I$85="x",4)
&amp;"/"&amp;$C$3+IF($C$87="x",$I$3,$I$2)-$C$120+IF($C$75="x",2)+$I$16-$B$10+$M$94+IF($C$77="x",2)-IF($C$78="x",4)-IF($I$78="x",1)-IF($C$79="x",4)+IF($C$80="x",1)-IF($I$77="x",2)-IF($I$90="x",2)+IF($I$83="x",2)-IF($C$83="x",4)-$C$112-15+IF(H427="x",1)+I427+$M$77+IF(H429="x",1)+IF(J429="x",1)+IF($M$76="x",2)+J427+IF($M$85="x",1)+IF($M$113="x",1)+IF($M$120="x",2)+IF($M$119="x",2)+IF($M$105="x",1)+IF($M$110="x",1)+IF($M$111="x",2)+IF($M$112="x",4)+IF($M$108="x",1)-IF($M$109="x",1)-IF($M$99="x",1)+IF($M$90="x",1)-IF($I$85="x",4))</f>
        <v>0</v>
      </c>
      <c r="C427" s="49" t="str">
        <f>_xlfn.IFS($C$7="Minimaalinen","1",$C$7="Taskukokoinen","1n2",$C$7="Hyvin pieni","1n3",$C$7="Pieni","1n4",$C$7="Keskikokoinen","1n6",$C$7="Iso","1n8",$C$7="Valtava","2n6",$C$7="Suunnaton","3n6",$C$7="Giganttinen","4n6")</f>
        <v>1n6</v>
      </c>
      <c r="D427" s="18">
        <f>SUM($I$2+$C$120)+I427+$M$77+IF(I429="x",2)+IF(K429="x",2)+IF($M$119="x",2)+IF($M$108="x",1)+$M$94-IF($M$109="x",1)+K427</f>
        <v>0</v>
      </c>
      <c r="E427" s="49" t="str">
        <f>_xlfn.IFS($C$7="Minimaalinen","2",$C$7="Taskukokoinen","2n2",$C$7="Hyvin pieni","2n3",$C$7="Pieni","2n4",$C$7="Keskikokoinen","2n6",$C$7="Iso","2n8",$C$7="Valtava","4n6",$C$7="Suunnaton","6n6",$C$7="Giganttinen","8n6")</f>
        <v>2n6</v>
      </c>
      <c r="F427" s="12">
        <f>SUM(D427*2)</f>
        <v>0</v>
      </c>
      <c r="G427" s="12" t="str">
        <f>(IF($I$89="x","50 %","")&amp;(IF($C$81="x","20 %",""))&amp;(IF($C$82="x","50 %",""&amp;IF($M$91="x","50 % (5 j 20 %)",""&amp;IF($M$115="x","50 % (5 j 20 %)","")))))</f>
        <v/>
      </c>
      <c r="H427" s="28"/>
      <c r="I427" s="17">
        <v>0</v>
      </c>
      <c r="J427" s="17">
        <v>0</v>
      </c>
      <c r="K427" s="17">
        <v>0</v>
      </c>
      <c r="AB427" s="52"/>
      <c r="AC427" s="53"/>
      <c r="AD427" s="54"/>
      <c r="AE427" s="53"/>
      <c r="AF427" s="54"/>
      <c r="AG427" s="54"/>
      <c r="AH427" s="53"/>
      <c r="AI427" s="40"/>
      <c r="AJ427" s="40"/>
      <c r="AK427" s="40"/>
      <c r="AL427" s="40"/>
    </row>
    <row r="428" spans="1:38" x14ac:dyDescent="0.2">
      <c r="A428" s="25" t="s">
        <v>435</v>
      </c>
      <c r="B428" s="121">
        <f>_xlfn.IFS($C$3&lt;6,$C$3+IF($C$87="x",$I$3,$I$2)-$C$120+IF($C$75="x",2)+$I$16-$B$10+$M$94+IF($C$77="x",2)-IF($C$78="x",4)-IF($I$78="x",1)-IF($C$79="x",4)+IF($C$80="x",1)-IF($I$77="x",2)-IF($I$90="x",2)+IF($I$83="x",2)-IF($C$75="x",4)-$C$112+IF(H427="x",1)+I427+$M$77+IF(H429="x",1)+IF(J429="x",1)+IF($M$76="x",2)+J427+IF($M$85="x",1)+IF($M$113="x",1)+IF($M$120="x",2)+IF($M$119="x",2)+IF($M$105="x",1)+IF($M$110="x",1)+IF($M$111="x",2)+IF($M$112="x",4)+IF($M$108="x",1)-IF($M$109="x",1)-IF($M$99="x",1)+IF($M$90="x",1)-IF($I$85="x",4)-IF($C$97="x",2,4),
$C$3&lt;11,$C$3+IF($C$87="x",$I$3,$I$2)-$C$120+IF($C$75="x",2)+$I$16-$B$10+$M$94+IF($C$77="x",2)-IF($C$78="x",4)-IF($I$78="x",1)-IF($C$79="x",4)+IF($C$80="x",1)-IF($I$77="x",2)-IF($I$90="x",2)+IF($I$83="x",2)-IF($C$83="x",4)-$C$112+IF(H427="x",1)+I427+$M$77+IF(H429="x",1)+IF(J429="x",1)+IF($M$76="x",2)+J427+IF($M$85="x",1)+IF($M$113="x",1)+IF($M$120="x",2)+IF($M$119="x",2)+IF($M$105="x",1)+IF($M$110="x",1)+IF($M$111="x",2)+IF($M$112="x",4)+IF($M$108="x",1)-IF($M$109="x",1)-IF($M$99="x",1)+IF($M$90="x",1)-IF($I$85="x",4)-IF($C$97="x",2,4)
&amp;"/"&amp;$C$3+IF($C$87="x",$I$3,$I$2)-$C$120+IF($C$75="x",2)+$I$16-$B$10+$M$94+IF($C$77="x",2)-IF($C$78="x",4)-IF($I$78="x",1)-IF($C$79="x",4)+IF($C$80="x",1)-IF($I$77="x",2)-IF($I$90="x",2)+IF($I$83="x",2)-IF($C$83="x",4)-$C$112-5+IF(H427="x",1)+I427+$M$77+IF(H429="x",1)+IF(J429="x",1)+IF($M$76="x",2)+J427+IF($M$85="x",1)+IF($M$113="x",1)+IF($M$120="x",2)+IF($M$119="x",2)+IF($M$105="x",1)+IF($M$110="x",1)+IF($M$111="x",2)+IF($M$112="x",4)+IF($M$108="x",1)-IF($M$109="x",1)-IF($M$99="x",1)+IF($M$90="x",1)-IF($I$85="x",4)-IF($C$97="x",2,4),
$C$3&lt;16,$C$3+IF($C$87="x",$I$3,$I$2)-$C$120+IF($C$75="x",2)+$I$16-$B$10+$M$94+IF($C$77="x",2)-IF($C$78="x",4)-IF($I$78="x",1)-IF($C$79="x",4)+IF($C$80="x",1)-IF($I$77="x",2)-IF($I$90="x",2)+IF($I$83="x",2)-IF($C$83="x",4)-$C$112+IF(H427="x",1)+I427+$M$77+IF(H429="x",1)+IF(J429="x",1)+IF($M$76="x",2)+J427+IF($M$85="x",1)+IF($M$113="x",1)+IF($M$120="x",2)+IF($M$119="x",2)+IF($M$105="x",1)+IF($M$110="x",1)+IF($M$111="x",2)+IF($M$112="x",4)+IF($M$108="x",1)-IF($M$109="x",1)+IF($M$99="x",20)-IF($M$99="x",1)+IF($M$90="x",1)-IF($I$85="x",4)-IF($C$97="x",2,4)
&amp;"/"&amp;$C$3+IF($C$87="x",$I$3,$I$2)-$C$120+IF($C$75="x",2)+$I$16-$B$10+$M$94+IF($C$77="x",2)-IF($C$78="x",4)-IF($I$78="x",1)-IF($C$79="x",4)+IF($C$80="x",1)-IF($I$77="x",2)-IF($I$90="x",2)+IF($I$83="x",2)-IF($C$83="x",4)-$C$112-5+IF(H427="x",1)+I427+$M$77+IF(H429="x",1)+IF(J429="x",1)+IF($M$76="x",2)+J427+IF($M$85="x",1)+IF($M$113="x",1)+IF($M$120="x",2)+IF($M$119="x",2)+IF($M$105="x",1)+IF($M$110="x",1)+IF($M$111="x",2)+IF($M$112="x",4)+IF($M$108="x",1)-IF($M$109="x",1)-IF($M$99="x",1)+IF($M$90="x",1)-IF($I$85="x",4)-IF($C$97="x",2,4)
&amp;"/"&amp;$C$3+IF($C$87="x",$I$3,$I$2)-$C$120+IF($C$75="x",2)+$I$16-$B$10+$M$94+IF($C$77="x",2)-IF($C$78="x",4)-IF($I$78="x",1)-IF($C$79="x",4)+IF($C$80="x",1)-IF($I$77="x",2)-IF($I$90="x",2)+IF($I$83="x",2)-IF($C$83="x",4)-$C$112-10+IF(H427="x",1)+I427+$M$77+IF(H429="x",1)+IF(J429="x",1)+IF($M$76="x",2)+J427+IF($M$85="x",1)+IF($M$113="x",1)+IF($M$120="x",2)+IF($M$119="x",2)+IF($M$105="x",1)+IF($M$110="x",1)+IF($M$111="x",2)+IF($M$112="x",4)+IF($M$108="x",1)-IF($M$109="x",1)-IF($M$99="x",1)+IF($M$90="x",1)-IF($I$85="x",4)-IF($C$97="x",2,4),
$C$3&gt;15,$C$3+IF($C$87="x",$I$3,$I$2)-$C$120+IF($C$75="x",2)+$I$16-$B$10+$M$94+IF($C$77="x",2)-IF($C$78="x",4)-IF($I$78="x",1)-IF($C$79="x",4)+IF($C$80="x",1)-IF($I$77="x",2)-IF($I$90="x",2)+IF($I$83="x",2)-IF($C$83="x",4)-$C$112+IF(H427="x",1)+I427+$M$77+IF(H429="x",1)+IF(J429="x",1)+IF($M$76="x",2)+J427+IF($M$85="x",1)+IF($M$113="x",1)+IF($M$120="x",2)+IF($M$119="x",2)+IF($M$105="x",1)+IF($M$110="x",1)+IF($M$111="x",2)+IF($M$112="x",4)+IF($M$108="x",1)-IF($M$109="x",1)-IF($M$99="x",1)+IF($M$90="x",1)-IF($I$85="x",4)-IF($C$97="x",2,4)
&amp;"/"&amp;$C$3+IF($C$87="x",$I$3,$I$2)-$C$120+IF($C$75="x",2)+$I$16-$B$10+$M$94+IF($C$77="x",2)-IF($C$78="x",4)-IF($I$78="x",1)-IF($C$79="x",4)+IF($C$80="x",1)-IF($I$77="x",2)-IF($I$90="x",2)+IF($I$83="x",2)-IF($C$83="x",4)-$C$112-5+IF(H427="x",1)+I427+$M$77+IF(H429="x",1)+IF(J429="x",1)+IF($M$76="x",2)+J427+IF($M$85="x",1)+IF($M$113="x",1)+IF($M$120="x",2)+IF($M$119="x",2)+IF($M$105="x",1)+IF($M$110="x",1)+IF($M$111="x",2)+IF($M$112="x",4)+IF($M$108="x",1)-IF($M$109="x",1)-IF($M$99="x",1)+IF($M$90="x",1)-IF($I$85="x",4)-IF($C$97="x",2,4)
&amp;"/"&amp;$C$3+IF($C$87="x",$I$3,$I$2)-$C$120+IF($C$75="x",2)+$I$16-$B$10+$M$94+IF($C$77="x",2)-IF($C$78="x",4)-IF($I$78="x",1)-IF($C$79="x",4)+IF($C$80="x",1)-IF($I$77="x",2)-IF($I$90="x",2)+IF($I$83="x",2)-IF($C$83="x",4)-$C$112-10+IF(H427="x",1)+I427+$M$77+IF(H429="x",1)+IF(J429="x",1)+IF($M$76="x",2)+J427+IF($M$85="x",1)+IF($M$113="x",1)+IF($M$120="x",2)+IF($M$119="x",2)+IF($M$105="x",1)+IF($M$110="x",1)+IF($M$111="x",2)+IF($M$112="x",4)+IF($M$108="x",1)-IF($M$109="x",1)-IF($M$99="x",1)+IF($M$90="x",1)-IF($I$85="x",4)-IF($C$97="x",2,4)
&amp;"/"&amp;$C$3+IF($C$87="x",$I$3,$I$2)-$C$120+IF($C$75="x",2)+$I$16-$B$10+$M$94+IF($C$77="x",2)-IF($C$78="x",4)-IF($I$78="x",1)-IF($C$79="x",4)+IF($C$80="x",1)-IF($I$77="x",2)-IF($I$90="x",2)+IF($I$83="x",2)-IF($C$83="x",4)-$C$112-15+IF(H427="x",1)+I427+$M$77+IF(H429="x",1)+IF(J429="x",1)+IF($M$76="x",2)+J427+IF($M$85="x",1)+IF($M$113="x",1)+IF($M$120="x",2)+IF($M$119="x",2)+IF($M$105="x",1)+IF($M$110="x",1)+IF($M$111="x",2)+IF($M$112="x",4)+IF($M$108="x",1)-IF($M$109="x",1)-IF($M$99="x",1)+IF($M$90="x",1)-IF($I$85="x",4)-IF($C$97="x",2,4))</f>
        <v>-4</v>
      </c>
      <c r="C428" s="49" t="str">
        <f>_xlfn.IFS($C$7="Minimaalinen","1",$C$7="Taskukokoinen","1n2",$C$7="Hyvin pieni","1n3",$C$7="Pieni","1n4",$C$7="Keskikokoinen","1n6",$C$7="Iso","1n8",$C$7="Valtava","2n6",$C$7="Suunnaton","3n6",$C$7="Giganttinen","4n6")</f>
        <v>1n6</v>
      </c>
      <c r="D428" s="121">
        <f>SUM($I$2+$C$120)+I427+$M$77+IF(I429="x",2)+IF(K429="x",2)+IF($M$119="x",2)+IF($M$108="x",1)+$M$94-IF($M$109="x",1)+K427</f>
        <v>0</v>
      </c>
      <c r="E428" s="49" t="str">
        <f>_xlfn.IFS($C$7="Minimaalinen","2",$C$7="Taskukokoinen","2n2",$C$7="Hyvin pieni","2n3",$C$7="Pieni","2n4",$C$7="Keskikokoinen","2n6",$C$7="Iso","2n8",$C$7="Valtava","4n6",$C$7="Suunnaton","6n6",$C$7="Giganttinen","8n6")</f>
        <v>2n6</v>
      </c>
      <c r="F428" s="82">
        <f>SUM(D428*2)</f>
        <v>0</v>
      </c>
      <c r="G428" s="82" t="str">
        <f>(IF($I$89="x","50 %","")&amp;(IF($C$81="x","20 %",""))&amp;(IF($C$82="x","50 %","")))</f>
        <v/>
      </c>
      <c r="H428" s="14" t="s">
        <v>220</v>
      </c>
      <c r="I428" s="14" t="s">
        <v>221</v>
      </c>
      <c r="J428" s="14" t="s">
        <v>222</v>
      </c>
      <c r="K428" s="14" t="s">
        <v>223</v>
      </c>
      <c r="AB428" s="52"/>
      <c r="AC428" s="53"/>
      <c r="AD428" s="54"/>
      <c r="AE428" s="53"/>
      <c r="AF428" s="54"/>
      <c r="AG428" s="54"/>
      <c r="AH428" s="54"/>
      <c r="AI428" s="49"/>
      <c r="AJ428" s="40"/>
      <c r="AL428" s="49"/>
    </row>
    <row r="429" spans="1:38" x14ac:dyDescent="0.2">
      <c r="A429" s="122" t="s">
        <v>436</v>
      </c>
      <c r="B429" s="123">
        <f>IF($I$85="x","PAINISSA",IF(AND($C$90="",$C$118=""),SUM($C$3,$I$2)-$C$120+IF($C$75="x",2)+$I$16-$B$10+$M$94+IF($C$77="x",2)-IF($C$78="x",4)-IF($I$78="x",1)-IF($C$79="x",4)+IF($C$80="x",1)-IF($I$77="x",2)-IF($I$90="x",2)+IF($I$83="x",2)-IF($C$75="x",4)-$C$112+IF(H427="x",1)+I427+$M$77+IF(H429="x",1)+IF(J429="x",1)+IF($M$76="x",2)+J427+IF($M$85="x",1)+IF($M$113="x",1)+IF($M$120="x",2)+IF($M$119="x",2)+IF($M$105="x",1)+IF($M$110="x",1)+IF($M$111="x",2)+IF($M$112="x",4)+IF($M$108="x",1)-IF($M$109="x",1)-IF($M$99="x",1)+IF($M$90="x",1)-IF($C$97="x",2,8),
IF(AND($C$90="x",$C$118=""),SUM($C$3,$I$2)-$C$120+IF($C$75="x",2)+$I$16-$B$10+$M$94+IF($C$77="x",2)-IF($C$78="x",4)-IF($I$78="x",1)-IF($C$79="x",4)+IF($C$80="x",1)-IF($I$77="x",2)-IF($I$90="x",2)+IF($I$83="x",2)-IF($C$83="x",4)-$C$112+IF(H427="x",1)+I427+$M$77+IF(H429="x",1)+IF(J429="x",1)+IF($M$76="x",2)+J427+IF($M$85="x",1)+IF($M$113="x",1)+IF($M$120="x",2)+IF($M$119="x",2)+IF($M$105="x",1)+IF($M$110="x",1)+IF($M$111="x",2)+IF($M$112="x",4)+IF($M$108="x",1)-IF($M$109="x",1)-IF($M$99="x",1)+IF($M$90="x",1)-IF($C$97="x",2,8)
&amp;"/"&amp;SUM($C$3,$I$2)-$C$120+IF($C$75="x",2)+$I$16-$B$10+$M$94+IF($C$77="x",2)-IF($C$78="x",4)-IF($I$78="x",1)-IF($C$79="x",4)+IF($C$80="x",1)-IF($I$77="x",2)-IF($I$90="x",2)+IF($I$83="x",2)-IF($C$83="x",4)-$C$112+IF(H427="x",1)+I427+$M$77+IF(H429="x",1)+IF(J429="x",1)+IF($M$76="x",2)+J427+IF($M$85="x",1)+IF($M$113="x",1)+IF($M$120="x",2)+IF($M$119="x",2)+IF($M$105="x",1)+IF($M$110="x",1)+IF($M$111="x",2)+IF($M$112="x",4)+IF($M$108="x",1)-IF($M$109="x",1)-IF($M$99="x",1)+IF($M$90="x",1)-IF($C$97="x",2,8)-5,
IF(AND($C$90="x",$C$118="x"),SUM($C$3,$I$2)-$C$120+IF($C$75="x",2)+$I$16-$B$10+$M$94+IF($C$77="x",2)-IF($C$78="x",4)-IF($I$78="x",1)-IF($C$79="x",4)+IF($C$80="x",1)-IF($I$77="x",2)-IF($I$90="x",2)+IF($I$83="x",2)-IF($C$83="x",4)-$C$112+IF(H427="x",1)+I427+$M$77+IF(H429="x",1)+IF(J429="x",1)+IF($M$76="x",2)+J427+IF($M$85="x",1)+IF($M$113="x",1)+IF($M$120="x",2)+IF($M$119="x",2)+IF($M$105="x",1)+IF($M$110="x",1)+IF($M$111="x",2)+IF($M$112="x",4)+IF($M$108="x",1)-IF($M$109="x",1)+IF($M$99="x",20)-IF($M$99="x",1)+IF($M$90="x",1)-IF($C$97="x",2,8)
&amp;"/"&amp;SUM($C$3,$I$2)-$C$120+IF($C$75="x",2)+$I$16-$B$10+$M$94+IF($C$77="x",2)-IF($C$78="x",4)-IF($I$78="x",1)-IF($C$79="x",4)+IF($C$80="x",1)-IF($I$77="x",2)-IF($I$90="x",2)+IF($I$83="x",2)-IF($C$83="x",4)-$C$112-5+IF(H427="x",1)+I427+$M$77+IF(H429="x",1)+IF(J429="x",1)+IF($M$76="x",2)+J427+IF($M$85="x",1)+IF($M$113="x",1)+IF($M$120="x",2)+IF($M$119="x",2)+IF($M$105="x",1)+IF($M$110="x",1)+IF($M$111="x",2)+IF($M$112="x",4)+IF($M$108="x",1)-IF($M$109="x",1)-IF($M$99="x",1)+IF($M$90="x",1)-IF($C$97="x",4,10)
&amp;"/"&amp;SUM($C$3,$I$2)-$C$120+IF($C$75="x",2)+$I$16-$B$10+$M$94+IF($C$77="x",2)-IF($C$78="x",4)-IF($I$78="x",1)-IF($C$79="x",4)+IF($C$80="x",1)-IF($I$77="x",2)-IF($I$90="x",2)+IF($I$83="x",2)-IF($C$83="x",4)-$C$112-10+IF(H427="x",1)+I427+$M$77+IF(H429="x",1)+IF(J429="x",1)+IF($M$76="x",2)+J427+IF($M$85="x",1)+IF($M$113="x",1)+IF($M$120="x",2)+IF($M$119="x",2)+IF($M$105="x",1)+IF($M$110="x",1)+IF($M$111="x",2)+IF($M$112="x",4)+IF($M$108="x",1)-IF($M$109="x",1)-IF($M$99="x",1)+IF($M$90="x",1)-IF($C$97="x",2,8)))))</f>
        <v>-8</v>
      </c>
      <c r="C429" s="54" t="str">
        <f>_xlfn.IFS($C$7="Minimaalinen","1",$C$7="Taskukokoinen","1n2",$C$7="Hyvin pieni","1n3",$C$7="Pieni","1n4",$C$7="Keskikokoinen","1n6",$C$7="Iso","1n8",$C$7="Valtava","2n6",$C$7="Suunnaton","3n6",$C$7="Giganttinen","4n6")</f>
        <v>1n6</v>
      </c>
      <c r="D429" s="123">
        <f>INT($I$2/2)+($C$120)+I427+$M$77+IF(I429="x",2)+IF(K429="x",2)+IF($M$119="x",2)+IF($M$108="x",1)+$M$94-IF($M$109="x",1)+K427</f>
        <v>0</v>
      </c>
      <c r="E429" s="54" t="str">
        <f>_xlfn.IFS($C$7="Minimaalinen","2",$C$7="Taskukokoinen","2n2",$C$7="Hyvin pieni","2n3",$C$7="Pieni","2n4",$C$7="Keskikokoinen","2n6",$C$7="Iso","2n8",$C$7="Valtava","4n6",$C$7="Suunnaton","6n6",$C$7="Giganttinen","8n6")</f>
        <v>2n6</v>
      </c>
      <c r="F429" s="124">
        <f>SUM(D429*2)</f>
        <v>0</v>
      </c>
      <c r="G429" s="123" t="str">
        <f>(IF($I$89="x","50 %","")&amp;(IF($C$81="x","20 %",""))&amp;(IF($C$82="x","50 %","")))</f>
        <v/>
      </c>
      <c r="H429" s="28"/>
      <c r="I429" s="28"/>
      <c r="J429" s="28"/>
      <c r="K429" s="28"/>
    </row>
    <row r="430" spans="1:38" x14ac:dyDescent="0.2">
      <c r="B430" s="15"/>
      <c r="C430" s="15"/>
      <c r="D430" s="15"/>
      <c r="F430" s="15"/>
      <c r="G430" s="15"/>
      <c r="H430" s="15"/>
      <c r="I430" s="15"/>
      <c r="AB430" s="46"/>
      <c r="AC430" s="48"/>
      <c r="AD430" s="48"/>
      <c r="AE430" s="48"/>
      <c r="AF430" s="48"/>
      <c r="AG430" s="48"/>
      <c r="AH430" s="48"/>
      <c r="AI430" s="48"/>
      <c r="AJ430" s="48"/>
      <c r="AK430" s="48"/>
      <c r="AL430" s="48"/>
    </row>
    <row r="431" spans="1:38" x14ac:dyDescent="0.2">
      <c r="B431" s="15"/>
      <c r="C431" s="15"/>
      <c r="D431" s="15"/>
      <c r="F431" s="15"/>
      <c r="G431" s="15"/>
      <c r="H431" s="15"/>
      <c r="I431" s="15"/>
      <c r="AC431" s="41"/>
      <c r="AD431" s="40"/>
      <c r="AE431" s="41"/>
      <c r="AF431" s="40"/>
      <c r="AG431" s="40"/>
      <c r="AH431" s="40"/>
      <c r="AI431" s="40"/>
      <c r="AJ431" s="40"/>
      <c r="AK431" s="40"/>
      <c r="AL431" s="40"/>
    </row>
    <row r="432" spans="1:38" x14ac:dyDescent="0.2">
      <c r="A432" s="10" t="s">
        <v>292</v>
      </c>
      <c r="B432" s="11" t="s">
        <v>1</v>
      </c>
      <c r="C432" s="11" t="s">
        <v>2</v>
      </c>
      <c r="D432" s="11" t="s">
        <v>3</v>
      </c>
      <c r="E432" s="11" t="s">
        <v>229</v>
      </c>
      <c r="F432" s="11" t="s">
        <v>3</v>
      </c>
      <c r="G432" s="11" t="s">
        <v>45</v>
      </c>
      <c r="H432" s="14" t="s">
        <v>179</v>
      </c>
      <c r="I432" s="130" t="s">
        <v>242</v>
      </c>
      <c r="J432" s="130" t="s">
        <v>224</v>
      </c>
      <c r="K432" s="130" t="s">
        <v>225</v>
      </c>
      <c r="AB432" s="50"/>
      <c r="AC432" s="51"/>
      <c r="AD432" s="40"/>
      <c r="AE432" s="51"/>
      <c r="AF432" s="40"/>
      <c r="AG432" s="49"/>
      <c r="AH432" s="49"/>
      <c r="AI432" s="48"/>
      <c r="AJ432" s="48"/>
      <c r="AK432" s="48"/>
      <c r="AL432" s="48"/>
    </row>
    <row r="433" spans="1:38" x14ac:dyDescent="0.2">
      <c r="A433" s="15" t="s">
        <v>219</v>
      </c>
      <c r="B433" s="18">
        <f>_xlfn.IFS($C$3&lt;6,$C$3+IF($C$87="x",$I$3,$I$2)-$C$120+IF($C$75="x",2)+$I$16-$B$10+$M$94+IF($C$77="x",2)-IF($C$78="x",4)-IF($I$78="x",1)-IF($C$79="x",4)+IF($C$80="x",1)-IF($I$77="x",2)-IF($I$90="x",2)+IF($I$83="x",2)-IF($C$75="x",4)-$C$112+IF(H433="x",1)+I433+$M$77+IF(H435="x",1)+IF(J435="x",1)+IF($M$76="x",2)+J433+IF($M$85="x",1)+IF($M$113="x",1)+IF($M$120="x",2)+IF($M$119="x",2)+IF($M$105="x",1)+IF($M$110="x",1)+IF($M$111="x",2)+IF($M$112="x",4)+IF($M$108="x",1)-IF($M$109="x",1)-IF($M$99="x",1)+IF($M$90="x",1)-IF($I$85="x",4),
$C$3&lt;11,$C$3+IF($C$87="x",$I$3,$I$2)-$C$120+IF($C$75="x",2)+$I$16-$B$10+$M$94+IF($C$77="x",2)-IF($C$78="x",4)-IF($I$78="x",1)-IF($C$79="x",4)+IF($C$80="x",1)-IF($I$77="x",2)-IF($I$90="x",2)+IF($I$83="x",2)-IF($C$83="x",4)-$C$112+IF(H433="x",1)+I433+$M$77+IF(H435="x",1)+IF(J435="x",1)+IF($M$76="x",2)+J433+IF($M$85="x",1)+IF($M$113="x",1)+IF($M$120="x",2)+IF($M$119="x",2)+IF($M$105="x",1)+IF($M$110="x",1)+IF($M$111="x",2)+IF($M$112="x",4)+IF($M$108="x",1)-IF($M$109="x",1)-IF($M$99="x",1)+IF($M$90="x",1)-IF($I$85="x",4)
&amp;"/"&amp;$C$3+IF($C$87="x",$I$3,$I$2)-$C$120+IF($C$75="x",2)+$I$16-$B$10+$M$94+IF($C$77="x",2)-IF($C$78="x",4)-IF($I$78="x",1)-IF($C$79="x",4)+IF($C$80="x",1)-IF($I$77="x",2)-IF($I$90="x",2)+IF($I$83="x",2)-IF($C$83="x",4)-$C$112-5+IF(H433="x",1)+I433+$M$77+IF(H435="x",1)+IF(J435="x",1)+IF($M$76="x",2)+J433+IF($M$85="x",1)+IF($M$113="x",1)+IF($M$120="x",2)+IF($M$119="x",2)+IF($M$105="x",1)+IF($M$110="x",1)+IF($M$111="x",2)+IF($M$112="x",4)+IF($M$108="x",1)-IF($M$109="x",1)-IF($M$99="x",1)+IF($M$90="x",1)-IF($I$85="x",4),
$C$3&lt;16,$C$3+IF($C$87="x",$I$3,$I$2)-$C$120+IF($C$75="x",2)+$I$16-$B$10+$M$94+IF($C$77="x",2)-IF($C$78="x",4)-IF($I$78="x",1)-IF($C$79="x",4)+IF($C$80="x",1)-IF($I$77="x",2)-IF($I$90="x",2)+IF($I$83="x",2)-IF($C$83="x",4)-$C$112+IF(H433="x",1)+I433+$M$77+IF(H435="x",1)+IF(J435="x",1)+IF($M$76="x",2)+J433+IF($M$85="x",1)+IF($M$113="x",1)+IF($M$120="x",2)+IF($M$119="x",2)+IF($M$105="x",1)+IF($M$110="x",1)+IF($M$111="x",2)+IF($M$112="x",4)+IF($M$108="x",1)-IF($M$109="x",1)+IF($M$99="x",20)-IF($M$99="x",1)+IF($M$90="x",1)-IF($I$85="x",4)
&amp;"/"&amp;$C$3+IF($C$87="x",$I$3,$I$2)-$C$120+IF($C$75="x",2)+$I$16-$B$10+$M$94+IF($C$77="x",2)-IF($C$78="x",4)-IF($I$78="x",1)-IF($C$79="x",4)+IF($C$80="x",1)-IF($I$77="x",2)-IF($I$90="x",2)+IF($I$83="x",2)-IF($C$83="x",4)-$C$112-5+IF(H433="x",1)+I433+$M$77+IF(H435="x",1)+IF(J435="x",1)+IF($M$76="x",2)+J433+IF($M$85="x",1)+IF($M$113="x",1)+IF($M$120="x",2)+IF($M$119="x",2)+IF($M$105="x",1)+IF($M$110="x",1)+IF($M$111="x",2)+IF($M$112="x",4)+IF($M$108="x",1)-IF($M$109="x",1)-IF($M$99="x",1)+IF($M$90="x",1)-IF($I$85="x",4)
&amp;"/"&amp;$C$3+IF($C$87="x",$I$3,$I$2)-$C$120+IF($C$75="x",2)+$I$16-$B$10+$M$94+IF($C$77="x",2)-IF($C$78="x",4)-IF($I$78="x",1)-IF($C$79="x",4)+IF($C$80="x",1)-IF($I$77="x",2)-IF($I$90="x",2)+IF($I$83="x",2)-IF($C$83="x",4)-$C$112-10+IF(H433="x",1)+I433+$M$77+IF(H435="x",1)+IF(J435="x",1)+IF($M$76="x",2)+J433+IF($M$85="x",1)+IF($M$113="x",1)+IF($M$120="x",2)+IF($M$119="x",2)+IF($M$105="x",1)+IF($M$110="x",1)+IF($M$111="x",2)+IF($M$112="x",4)+IF($M$108="x",1)-IF($M$109="x",1)-IF($M$99="x",1)+IF($M$90="x",1)-IF($I$85="x",4),
$C$3&gt;15,$C$3+IF($C$87="x",$I$3,$I$2)-$C$120+IF($C$75="x",2)+$I$16-$B$10+$M$94+IF($C$77="x",2)-IF($C$78="x",4)-IF($I$78="x",1)-IF($C$79="x",4)+IF($C$80="x",1)-IF($I$77="x",2)-IF($I$90="x",2)+IF($I$83="x",2)-IF($C$83="x",4)-$C$112+IF(H433="x",1)+I433+$M$77+IF(H435="x",1)+IF(J435="x",1)+IF($M$76="x",2)+J433+IF($M$85="x",1)+IF($M$113="x",1)+IF($M$120="x",2)+IF($M$119="x",2)+IF($M$105="x",1)+IF($M$110="x",1)+IF($M$111="x",2)+IF($M$112="x",4)+IF($M$108="x",1)-IF($M$109="x",1)-IF($M$99="x",1)+IF($M$90="x",1)-IF($I$85="x",4)
&amp;"/"&amp;$C$3+IF($C$87="x",$I$3,$I$2)-$C$120+IF($C$75="x",2)+$I$16-$B$10+$M$94+IF($C$77="x",2)-IF($C$78="x",4)-IF($I$78="x",1)-IF($C$79="x",4)+IF($C$80="x",1)-IF($I$77="x",2)-IF($I$90="x",2)+IF($I$83="x",2)-IF($C$83="x",4)-$C$112-5+IF(H433="x",1)+I433+$M$77+IF(H435="x",1)+IF(J435="x",1)+IF($M$76="x",2)+J433+IF($M$85="x",1)+IF($M$113="x",1)+IF($M$120="x",2)+IF($M$119="x",2)+IF($M$105="x",1)+IF($M$110="x",1)+IF($M$111="x",2)+IF($M$112="x",4)+IF($M$108="x",1)-IF($M$109="x",1)-IF($M$99="x",1)+IF($M$90="x",1)-IF($I$85="x",4)
&amp;"/"&amp;$C$3+IF($C$87="x",$I$3,$I$2)-$C$120+IF($C$75="x",2)+$I$16-$B$10+$M$94+IF($C$77="x",2)-IF($C$78="x",4)-IF($I$78="x",1)-IF($C$79="x",4)+IF($C$80="x",1)-IF($I$77="x",2)-IF($I$90="x",2)+IF($I$83="x",2)-IF($C$83="x",4)-$C$112-10+IF(H433="x",1)+I433+$M$77+IF(H435="x",1)+IF(J435="x",1)+IF($M$76="x",2)+J433+IF($M$85="x",1)+IF($M$113="x",1)+IF($M$120="x",2)+IF($M$119="x",2)+IF($M$105="x",1)+IF($M$110="x",1)+IF($M$111="x",2)+IF($M$112="x",4)+IF($M$108="x",1)-IF($M$109="x",1)-IF($M$99="x",1)+IF($M$90="x",1)-IF($I$85="x",4)
&amp;"/"&amp;$C$3+IF($C$87="x",$I$3,$I$2)-$C$120+IF($C$75="x",2)+$I$16-$B$10+$M$94+IF($C$77="x",2)-IF($C$78="x",4)-IF($I$78="x",1)-IF($C$79="x",4)+IF($C$80="x",1)-IF($I$77="x",2)-IF($I$90="x",2)+IF($I$83="x",2)-IF($C$83="x",4)-$C$112-15+IF(H433="x",1)+I433+$M$77+IF(H435="x",1)+IF(J435="x",1)+IF($M$76="x",2)+J433+IF($M$85="x",1)+IF($M$113="x",1)+IF($M$120="x",2)+IF($M$119="x",2)+IF($M$105="x",1)+IF($M$110="x",1)+IF($M$111="x",2)+IF($M$112="x",4)+IF($M$108="x",1)-IF($M$109="x",1)-IF($M$99="x",1)+IF($M$90="x",1)-IF($I$85="x",4))</f>
        <v>0</v>
      </c>
      <c r="C433" s="49" t="str">
        <f>_xlfn.IFS($C$7="Minimaalinen","–",$C$7="Taskukokoinen","1",$C$7="Hyvin pieni","1n2",$C$7="Pieni","1n3",$C$7="Keskikokoinen","1n4",$C$7="Iso","1n6",$C$7="Valtava","1n8",$C$7="Suunnaton","2n6",$C$7="Giganttinen","3n6")</f>
        <v>1n4</v>
      </c>
      <c r="D433" s="18">
        <f>SUM($I$2+$C$120)+I433+$M$77+IF(I435="x",2)+IF(K435="x",2)+IF($M$119="x",2)+IF($M$108="x",1)+$M$94-IF($M$109="x",1)+K433</f>
        <v>0</v>
      </c>
      <c r="E433" s="49" t="str">
        <f>_xlfn.IFS($C$7="Minimaalinen","–",$C$7="Taskukokoinen","2",$C$7="Hyvin pieni","2n2",$C$7="Pieni","2n3",$C$7="Keskikokoinen","2n4",$C$7="Iso","2n6",$C$7="Valtava","2n8",$C$7="Suunnaton","4n6",$C$7="Giganttinen","6n6")</f>
        <v>2n4</v>
      </c>
      <c r="F433" s="12">
        <f>SUM(D433*2)</f>
        <v>0</v>
      </c>
      <c r="G433" s="12" t="str">
        <f>(IF($I$89="x","50 %","")&amp;(IF($C$81="x","20 %",""))&amp;(IF($C$82="x","50 %",""&amp;IF($M$91="x","50 % (5 j 20 %)",""&amp;IF($M$115="x","50 % (5 j 20 %)","")))))</f>
        <v/>
      </c>
      <c r="H433" s="28"/>
      <c r="I433" s="17">
        <v>0</v>
      </c>
      <c r="J433" s="17">
        <v>0</v>
      </c>
      <c r="K433" s="17">
        <v>0</v>
      </c>
      <c r="AB433" s="52"/>
      <c r="AC433" s="53"/>
      <c r="AD433" s="54"/>
      <c r="AE433" s="53"/>
      <c r="AF433" s="54"/>
      <c r="AG433" s="54"/>
      <c r="AH433" s="53"/>
      <c r="AI433" s="40"/>
      <c r="AJ433" s="40"/>
      <c r="AK433" s="40"/>
      <c r="AL433" s="40"/>
    </row>
    <row r="434" spans="1:38" x14ac:dyDescent="0.2">
      <c r="A434" s="25" t="s">
        <v>435</v>
      </c>
      <c r="B434" s="121">
        <f>_xlfn.IFS($C$3&lt;6,$C$3+IF($C$87="x",$I$3,$I$2)-$C$120+IF($C$75="x",2)+$I$16-$B$10+$M$94+IF($C$77="x",2)-IF($C$78="x",4)-IF($I$78="x",1)-IF($C$79="x",4)+IF($C$80="x",1)-IF($I$77="x",2)-IF($I$90="x",2)+IF($I$83="x",2)-IF($C$75="x",4)-$C$112+IF(H433="x",1)+I433+$M$77+IF(H435="x",1)+IF(J435="x",1)+IF($M$76="x",2)+J433+IF($M$85="x",1)+IF($M$113="x",1)+IF($M$120="x",2)+IF($M$119="x",2)+IF($M$105="x",1)+IF($M$110="x",1)+IF($M$111="x",2)+IF($M$112="x",4)+IF($M$108="x",1)-IF($M$109="x",1)-IF($M$99="x",1)+IF($M$90="x",1)-IF($I$85="x",4)-IF($C$97="x",2,4),
$C$3&lt;11,$C$3+IF($C$87="x",$I$3,$I$2)-$C$120+IF($C$75="x",2)+$I$16-$B$10+$M$94+IF($C$77="x",2)-IF($C$78="x",4)-IF($I$78="x",1)-IF($C$79="x",4)+IF($C$80="x",1)-IF($I$77="x",2)-IF($I$90="x",2)+IF($I$83="x",2)-IF($C$83="x",4)-$C$112+IF(H433="x",1)+I433+$M$77+IF(H435="x",1)+IF(J435="x",1)+IF($M$76="x",2)+J433+IF($M$85="x",1)+IF($M$113="x",1)+IF($M$120="x",2)+IF($M$119="x",2)+IF($M$105="x",1)+IF($M$110="x",1)+IF($M$111="x",2)+IF($M$112="x",4)+IF($M$108="x",1)-IF($M$109="x",1)-IF($M$99="x",1)+IF($M$90="x",1)-IF($I$85="x",4)-IF($C$97="x",2,4)
&amp;"/"&amp;$C$3+IF($C$87="x",$I$3,$I$2)-$C$120+IF($C$75="x",2)+$I$16-$B$10+$M$94+IF($C$77="x",2)-IF($C$78="x",4)-IF($I$78="x",1)-IF($C$79="x",4)+IF($C$80="x",1)-IF($I$77="x",2)-IF($I$90="x",2)+IF($I$83="x",2)-IF($C$83="x",4)-$C$112-5+IF(H433="x",1)+I433+$M$77+IF(H435="x",1)+IF(J435="x",1)+IF($M$76="x",2)+J433+IF($M$85="x",1)+IF($M$113="x",1)+IF($M$120="x",2)+IF($M$119="x",2)+IF($M$105="x",1)+IF($M$110="x",1)+IF($M$111="x",2)+IF($M$112="x",4)+IF($M$108="x",1)-IF($M$109="x",1)-IF($M$99="x",1)+IF($M$90="x",1)-IF($I$85="x",4)-IF($C$97="x",2,4),
$C$3&lt;16,$C$3+IF($C$87="x",$I$3,$I$2)-$C$120+IF($C$75="x",2)+$I$16-$B$10+$M$94+IF($C$77="x",2)-IF($C$78="x",4)-IF($I$78="x",1)-IF($C$79="x",4)+IF($C$80="x",1)-IF($I$77="x",2)-IF($I$90="x",2)+IF($I$83="x",2)-IF($C$83="x",4)-$C$112+IF(H433="x",1)+I433+$M$77+IF(H435="x",1)+IF(J435="x",1)+IF($M$76="x",2)+J433+IF($M$85="x",1)+IF($M$113="x",1)+IF($M$120="x",2)+IF($M$119="x",2)+IF($M$105="x",1)+IF($M$110="x",1)+IF($M$111="x",2)+IF($M$112="x",4)+IF($M$108="x",1)-IF($M$109="x",1)+IF($M$99="x",20)-IF($M$99="x",1)+IF($M$90="x",1)-IF($I$85="x",4)-IF($C$97="x",2,4)
&amp;"/"&amp;$C$3+IF($C$87="x",$I$3,$I$2)-$C$120+IF($C$75="x",2)+$I$16-$B$10+$M$94+IF($C$77="x",2)-IF($C$78="x",4)-IF($I$78="x",1)-IF($C$79="x",4)+IF($C$80="x",1)-IF($I$77="x",2)-IF($I$90="x",2)+IF($I$83="x",2)-IF($C$83="x",4)-$C$112-5+IF(H433="x",1)+I433+$M$77+IF(H435="x",1)+IF(J435="x",1)+IF($M$76="x",2)+J433+IF($M$85="x",1)+IF($M$113="x",1)+IF($M$120="x",2)+IF($M$119="x",2)+IF($M$105="x",1)+IF($M$110="x",1)+IF($M$111="x",2)+IF($M$112="x",4)+IF($M$108="x",1)-IF($M$109="x",1)-IF($M$99="x",1)+IF($M$90="x",1)-IF($I$85="x",4)-IF($C$97="x",2,4)
&amp;"/"&amp;$C$3+IF($C$87="x",$I$3,$I$2)-$C$120+IF($C$75="x",2)+$I$16-$B$10+$M$94+IF($C$77="x",2)-IF($C$78="x",4)-IF($I$78="x",1)-IF($C$79="x",4)+IF($C$80="x",1)-IF($I$77="x",2)-IF($I$90="x",2)+IF($I$83="x",2)-IF($C$83="x",4)-$C$112-10+IF(H433="x",1)+I433+$M$77+IF(H435="x",1)+IF(J435="x",1)+IF($M$76="x",2)+J433+IF($M$85="x",1)+IF($M$113="x",1)+IF($M$120="x",2)+IF($M$119="x",2)+IF($M$105="x",1)+IF($M$110="x",1)+IF($M$111="x",2)+IF($M$112="x",4)+IF($M$108="x",1)-IF($M$109="x",1)-IF($M$99="x",1)+IF($M$90="x",1)-IF($I$85="x",4)-IF($C$97="x",2,4),
$C$3&gt;15,$C$3+IF($C$87="x",$I$3,$I$2)-$C$120+IF($C$75="x",2)+$I$16-$B$10+$M$94+IF($C$77="x",2)-IF($C$78="x",4)-IF($I$78="x",1)-IF($C$79="x",4)+IF($C$80="x",1)-IF($I$77="x",2)-IF($I$90="x",2)+IF($I$83="x",2)-IF($C$83="x",4)-$C$112+IF(H433="x",1)+I433+$M$77+IF(H435="x",1)+IF(J435="x",1)+IF($M$76="x",2)+J433+IF($M$85="x",1)+IF($M$113="x",1)+IF($M$120="x",2)+IF($M$119="x",2)+IF($M$105="x",1)+IF($M$110="x",1)+IF($M$111="x",2)+IF($M$112="x",4)+IF($M$108="x",1)-IF($M$109="x",1)-IF($M$99="x",1)+IF($M$90="x",1)-IF($I$85="x",4)-IF($C$97="x",2,4)
&amp;"/"&amp;$C$3+IF($C$87="x",$I$3,$I$2)-$C$120+IF($C$75="x",2)+$I$16-$B$10+$M$94+IF($C$77="x",2)-IF($C$78="x",4)-IF($I$78="x",1)-IF($C$79="x",4)+IF($C$80="x",1)-IF($I$77="x",2)-IF($I$90="x",2)+IF($I$83="x",2)-IF($C$83="x",4)-$C$112-5+IF(H433="x",1)+I433+$M$77+IF(H435="x",1)+IF(J435="x",1)+IF($M$76="x",2)+J433+IF($M$85="x",1)+IF($M$113="x",1)+IF($M$120="x",2)+IF($M$119="x",2)+IF($M$105="x",1)+IF($M$110="x",1)+IF($M$111="x",2)+IF($M$112="x",4)+IF($M$108="x",1)-IF($M$109="x",1)-IF($M$99="x",1)+IF($M$90="x",1)-IF($I$85="x",4)-IF($C$97="x",2,4)
&amp;"/"&amp;$C$3+IF($C$87="x",$I$3,$I$2)-$C$120+IF($C$75="x",2)+$I$16-$B$10+$M$94+IF($C$77="x",2)-IF($C$78="x",4)-IF($I$78="x",1)-IF($C$79="x",4)+IF($C$80="x",1)-IF($I$77="x",2)-IF($I$90="x",2)+IF($I$83="x",2)-IF($C$83="x",4)-$C$112-10+IF(H433="x",1)+I433+$M$77+IF(H435="x",1)+IF(J435="x",1)+IF($M$76="x",2)+J433+IF($M$85="x",1)+IF($M$113="x",1)+IF($M$120="x",2)+IF($M$119="x",2)+IF($M$105="x",1)+IF($M$110="x",1)+IF($M$111="x",2)+IF($M$112="x",4)+IF($M$108="x",1)-IF($M$109="x",1)-IF($M$99="x",1)+IF($M$90="x",1)-IF($I$85="x",4)-IF($C$97="x",2,4)
&amp;"/"&amp;$C$3+IF($C$87="x",$I$3,$I$2)-$C$120+IF($C$75="x",2)+$I$16-$B$10+$M$94+IF($C$77="x",2)-IF($C$78="x",4)-IF($I$78="x",1)-IF($C$79="x",4)+IF($C$80="x",1)-IF($I$77="x",2)-IF($I$90="x",2)+IF($I$83="x",2)-IF($C$83="x",4)-$C$112-15+IF(H433="x",1)+I433+$M$77+IF(H435="x",1)+IF(J435="x",1)+IF($M$76="x",2)+J433+IF($M$85="x",1)+IF($M$113="x",1)+IF($M$120="x",2)+IF($M$119="x",2)+IF($M$105="x",1)+IF($M$110="x",1)+IF($M$111="x",2)+IF($M$112="x",4)+IF($M$108="x",1)-IF($M$109="x",1)-IF($M$99="x",1)+IF($M$90="x",1)-IF($I$85="x",4)-IF($C$97="x",2,4))</f>
        <v>-4</v>
      </c>
      <c r="C434" s="49" t="str">
        <f>_xlfn.IFS($C$7="Minimaalinen","–",$C$7="Taskukokoinen","1",$C$7="Hyvin pieni","1n2",$C$7="Pieni","1n3",$C$7="Keskikokoinen","1n4",$C$7="Iso","1n6",$C$7="Valtava","1n8",$C$7="Suunnaton","2n6",$C$7="Giganttinen","3n6")</f>
        <v>1n4</v>
      </c>
      <c r="D434" s="121">
        <f>SUM($I$2+$C$120)+I433+$M$77+IF(I435="x",2)+IF(K435="x",2)+IF($M$119="x",2)+IF($M$108="x",1)+$M$94-IF($M$109="x",1)+K433</f>
        <v>0</v>
      </c>
      <c r="E434" s="49" t="str">
        <f>_xlfn.IFS($C$7="Minimaalinen","–",$C$7="Taskukokoinen","2",$C$7="Hyvin pieni","2n2",$C$7="Pieni","2n3",$C$7="Keskikokoinen","2n4",$C$7="Iso","2n6",$C$7="Valtava","2n8",$C$7="Suunnaton","4n6",$C$7="Giganttinen","6n6")</f>
        <v>2n4</v>
      </c>
      <c r="F434" s="82">
        <f>SUM(D434*2)</f>
        <v>0</v>
      </c>
      <c r="G434" s="82" t="str">
        <f>(IF($I$89="x","50 %","")&amp;(IF($C$81="x","20 %",""))&amp;(IF($C$82="x","50 %","")))</f>
        <v/>
      </c>
      <c r="H434" s="14" t="s">
        <v>220</v>
      </c>
      <c r="I434" s="14" t="s">
        <v>221</v>
      </c>
      <c r="J434" s="14" t="s">
        <v>222</v>
      </c>
      <c r="K434" s="14" t="s">
        <v>223</v>
      </c>
    </row>
    <row r="435" spans="1:38" x14ac:dyDescent="0.2">
      <c r="A435" s="122" t="s">
        <v>436</v>
      </c>
      <c r="B435" s="123">
        <f>IF($I$85="x","PAINISSA",IF(AND($C$90="",$C$118=""),SUM($C$3,$I$2)-$C$120+IF($C$75="x",2)+$I$16-$B$10+$M$94+IF($C$77="x",2)-IF($C$78="x",4)-IF($I$78="x",1)-IF($C$79="x",4)+IF($C$80="x",1)-IF($I$77="x",2)-IF($I$90="x",2)+IF($I$83="x",2)-IF($C$75="x",4)-$C$112+IF(H433="x",1)+I433+$M$77+IF(H435="x",1)+IF(J435="x",1)+IF($M$76="x",2)+J433+IF($M$85="x",1)+IF($M$113="x",1)+IF($M$120="x",2)+IF($M$119="x",2)+IF($M$105="x",1)+IF($M$110="x",1)+IF($M$111="x",2)+IF($M$112="x",4)+IF($M$108="x",1)-IF($M$109="x",1)-IF($M$99="x",1)+IF($M$90="x",1)-IF($C$97="x",2,8),
IF(AND($C$90="x",$C$118=""),SUM($C$3,$I$2)-$C$120+IF($C$75="x",2)+$I$16-$B$10+$M$94+IF($C$77="x",2)-IF($C$78="x",4)-IF($I$78="x",1)-IF($C$79="x",4)+IF($C$80="x",1)-IF($I$77="x",2)-IF($I$90="x",2)+IF($I$83="x",2)-IF($C$83="x",4)-$C$112+IF(H433="x",1)+I433+$M$77+IF(H435="x",1)+IF(J435="x",1)+IF($M$76="x",2)+J433+IF($M$85="x",1)+IF($M$113="x",1)+IF($M$120="x",2)+IF($M$119="x",2)+IF($M$105="x",1)+IF($M$110="x",1)+IF($M$111="x",2)+IF($M$112="x",4)+IF($M$108="x",1)-IF($M$109="x",1)-IF($M$99="x",1)+IF($M$90="x",1)-IF($C$97="x",2,8)
&amp;"/"&amp;SUM($C$3,$I$2)-$C$120+IF($C$75="x",2)+$I$16-$B$10+$M$94+IF($C$77="x",2)-IF($C$78="x",4)-IF($I$78="x",1)-IF($C$79="x",4)+IF($C$80="x",1)-IF($I$77="x",2)-IF($I$90="x",2)+IF($I$83="x",2)-IF($C$83="x",4)-$C$112+IF(H433="x",1)+I433+$M$77+IF(H435="x",1)+IF(J435="x",1)+IF($M$76="x",2)+J433+IF($M$85="x",1)+IF($M$113="x",1)+IF($M$120="x",2)+IF($M$119="x",2)+IF($M$105="x",1)+IF($M$110="x",1)+IF($M$111="x",2)+IF($M$112="x",4)+IF($M$108="x",1)-IF($M$109="x",1)-IF($M$99="x",1)+IF($M$90="x",1)-IF($C$97="x",2,8)-5,
IF(AND($C$90="x",$C$118="x"),SUM($C$3,$I$2)-$C$120+IF($C$75="x",2)+$I$16-$B$10+$M$94+IF($C$77="x",2)-IF($C$78="x",4)-IF($I$78="x",1)-IF($C$79="x",4)+IF($C$80="x",1)-IF($I$77="x",2)-IF($I$90="x",2)+IF($I$83="x",2)-IF($C$83="x",4)-$C$112+IF(H433="x",1)+I433+$M$77+IF(H435="x",1)+IF(J435="x",1)+IF($M$76="x",2)+J433+IF($M$85="x",1)+IF($M$113="x",1)+IF($M$120="x",2)+IF($M$119="x",2)+IF($M$105="x",1)+IF($M$110="x",1)+IF($M$111="x",2)+IF($M$112="x",4)+IF($M$108="x",1)-IF($M$109="x",1)+IF($M$99="x",20)-IF($M$99="x",1)+IF($M$90="x",1)-IF($C$97="x",2,8)
&amp;"/"&amp;SUM($C$3,$I$2)-$C$120+IF($C$75="x",2)+$I$16-$B$10+$M$94+IF($C$77="x",2)-IF($C$78="x",4)-IF($I$78="x",1)-IF($C$79="x",4)+IF($C$80="x",1)-IF($I$77="x",2)-IF($I$90="x",2)+IF($I$83="x",2)-IF($C$83="x",4)-$C$112-5+IF(H433="x",1)+I433+$M$77+IF(H435="x",1)+IF(J435="x",1)+IF($M$76="x",2)+J433+IF($M$85="x",1)+IF($M$113="x",1)+IF($M$120="x",2)+IF($M$119="x",2)+IF($M$105="x",1)+IF($M$110="x",1)+IF($M$111="x",2)+IF($M$112="x",4)+IF($M$108="x",1)-IF($M$109="x",1)-IF($M$99="x",1)+IF($M$90="x",1)-IF($C$97="x",4,10)
&amp;"/"&amp;SUM($C$3,$I$2)-$C$120+IF($C$75="x",2)+$I$16-$B$10+$M$94+IF($C$77="x",2)-IF($C$78="x",4)-IF($I$78="x",1)-IF($C$79="x",4)+IF($C$80="x",1)-IF($I$77="x",2)-IF($I$90="x",2)+IF($I$83="x",2)-IF($C$83="x",4)-$C$112-10+IF(H433="x",1)+I433+$M$77+IF(H435="x",1)+IF(J435="x",1)+IF($M$76="x",2)+J433+IF($M$85="x",1)+IF($M$113="x",1)+IF($M$120="x",2)+IF($M$119="x",2)+IF($M$105="x",1)+IF($M$110="x",1)+IF($M$111="x",2)+IF($M$112="x",4)+IF($M$108="x",1)-IF($M$109="x",1)-IF($M$99="x",1)+IF($M$90="x",1)-IF($C$97="x",2,8)))))</f>
        <v>-8</v>
      </c>
      <c r="C435" s="54" t="str">
        <f>_xlfn.IFS($C$7="Minimaalinen","–",$C$7="Taskukokoinen","1",$C$7="Hyvin pieni","1n2",$C$7="Pieni","1n3",$C$7="Keskikokoinen","1n4",$C$7="Iso","1n6",$C$7="Valtava","1n8",$C$7="Suunnaton","2n6",$C$7="Giganttinen","3n6")</f>
        <v>1n4</v>
      </c>
      <c r="D435" s="123">
        <f>INT($I$2/2)+($C$120)+I433+$M$77+IF(I435="x",2)+IF(K435="x",2)+IF($M$119="x",2)+IF($M$108="x",1)+$M$94-IF($M$109="x",1)+K433</f>
        <v>0</v>
      </c>
      <c r="E435" s="54" t="str">
        <f>_xlfn.IFS($C$7="Minimaalinen","–",$C$7="Taskukokoinen","2",$C$7="Hyvin pieni","2n2",$C$7="Pieni","2n3",$C$7="Keskikokoinen","2n4",$C$7="Iso","2n6",$C$7="Valtava","2n8",$C$7="Suunnaton","4n6",$C$7="Giganttinen","6n6")</f>
        <v>2n4</v>
      </c>
      <c r="F435" s="124">
        <f>SUM(D435*2)</f>
        <v>0</v>
      </c>
      <c r="G435" s="123" t="str">
        <f>(IF($I$89="x","50 %","")&amp;(IF($C$81="x","20 %",""))&amp;(IF($C$82="x","50 %","")))</f>
        <v/>
      </c>
      <c r="H435" s="28"/>
      <c r="I435" s="28"/>
      <c r="J435" s="28"/>
      <c r="K435" s="28"/>
    </row>
    <row r="436" spans="1:38" x14ac:dyDescent="0.2">
      <c r="B436" s="15"/>
      <c r="C436" s="15"/>
      <c r="D436" s="15"/>
      <c r="F436" s="15"/>
      <c r="G436" s="15"/>
      <c r="H436" s="15"/>
      <c r="I436" s="15"/>
      <c r="AB436" s="46"/>
      <c r="AC436" s="48"/>
      <c r="AD436" s="48"/>
      <c r="AE436" s="48"/>
      <c r="AF436" s="48"/>
      <c r="AG436" s="48"/>
      <c r="AH436" s="48"/>
      <c r="AI436" s="48"/>
      <c r="AJ436" s="48"/>
      <c r="AK436" s="48"/>
      <c r="AL436" s="48"/>
    </row>
    <row r="437" spans="1:38" x14ac:dyDescent="0.2">
      <c r="B437" s="15"/>
      <c r="C437" s="15"/>
      <c r="D437" s="15"/>
      <c r="F437" s="15"/>
      <c r="G437" s="15"/>
      <c r="H437" s="15"/>
      <c r="I437" s="15"/>
      <c r="AC437" s="41"/>
      <c r="AD437" s="49"/>
      <c r="AE437" s="41"/>
      <c r="AF437" s="49"/>
      <c r="AG437" s="40"/>
      <c r="AH437" s="40"/>
      <c r="AI437" s="40"/>
      <c r="AJ437" s="40"/>
      <c r="AK437" s="40"/>
      <c r="AL437" s="40"/>
    </row>
    <row r="438" spans="1:38" x14ac:dyDescent="0.2">
      <c r="A438" s="10" t="s">
        <v>293</v>
      </c>
      <c r="B438" s="11" t="s">
        <v>1</v>
      </c>
      <c r="C438" s="11" t="s">
        <v>2</v>
      </c>
      <c r="D438" s="11" t="s">
        <v>3</v>
      </c>
      <c r="E438" s="11" t="s">
        <v>229</v>
      </c>
      <c r="F438" s="11" t="s">
        <v>3</v>
      </c>
      <c r="G438" s="11" t="s">
        <v>45</v>
      </c>
      <c r="H438" s="14" t="s">
        <v>179</v>
      </c>
      <c r="I438" s="130" t="s">
        <v>242</v>
      </c>
      <c r="J438" s="130" t="s">
        <v>224</v>
      </c>
      <c r="K438" s="130" t="s">
        <v>225</v>
      </c>
      <c r="AB438" s="50"/>
      <c r="AC438" s="51"/>
      <c r="AD438" s="49"/>
      <c r="AE438" s="51"/>
      <c r="AF438" s="49"/>
      <c r="AG438" s="49"/>
      <c r="AH438" s="49"/>
      <c r="AI438" s="48"/>
      <c r="AJ438" s="48"/>
      <c r="AK438" s="48"/>
      <c r="AL438" s="48"/>
    </row>
    <row r="439" spans="1:38" x14ac:dyDescent="0.2">
      <c r="A439" s="15" t="s">
        <v>219</v>
      </c>
      <c r="B439" s="18">
        <f>_xlfn.IFS($C$3&lt;6,$C$3+IF($C$87="x",$I$3,$I$2)-$C$120+IF($C$75="x",2)+$I$16-$B$10+$M$94+IF($C$77="x",2)-IF($C$78="x",4)-IF($I$78="x",1)-IF($C$79="x",4)+IF($C$80="x",1)-IF($I$77="x",2)-IF($I$90="x",2)+IF($I$83="x",2)-IF($C$75="x",4)-$C$112+IF(H439="x",1)+I439+$M$77+IF(H441="x",1)+IF(J441="x",1)+IF($M$76="x",2)+J439+IF($M$85="x",1)+IF($M$113="x",1)+IF($M$120="x",2)+IF($M$119="x",2)+IF($M$105="x",1)+IF($M$110="x",1)+IF($M$111="x",2)+IF($M$112="x",4)+IF($M$108="x",1)-IF($M$109="x",1)-IF($M$99="x",1)+IF($M$90="x",1)-IF($I$85="x",4),
$C$3&lt;11,$C$3+IF($C$87="x",$I$3,$I$2)-$C$120+IF($C$75="x",2)+$I$16-$B$10+$M$94+IF($C$77="x",2)-IF($C$78="x",4)-IF($I$78="x",1)-IF($C$79="x",4)+IF($C$80="x",1)-IF($I$77="x",2)-IF($I$90="x",2)+IF($I$83="x",2)-IF($C$83="x",4)-$C$112+IF(H439="x",1)+I439+$M$77+IF(H441="x",1)+IF(J441="x",1)+IF($M$76="x",2)+J439+IF($M$85="x",1)+IF($M$113="x",1)+IF($M$120="x",2)+IF($M$119="x",2)+IF($M$105="x",1)+IF($M$110="x",1)+IF($M$111="x",2)+IF($M$112="x",4)+IF($M$108="x",1)-IF($M$109="x",1)-IF($M$99="x",1)+IF($M$90="x",1)-IF($I$85="x",4)
&amp;"/"&amp;$C$3+IF($C$87="x",$I$3,$I$2)-$C$120+IF($C$75="x",2)+$I$16-$B$10+$M$94+IF($C$77="x",2)-IF($C$78="x",4)-IF($I$78="x",1)-IF($C$79="x",4)+IF($C$80="x",1)-IF($I$77="x",2)-IF($I$90="x",2)+IF($I$83="x",2)-IF($C$83="x",4)-$C$112-5+IF(H439="x",1)+I439+$M$77+IF(H441="x",1)+IF(J441="x",1)+IF($M$76="x",2)+J439+IF($M$85="x",1)+IF($M$113="x",1)+IF($M$120="x",2)+IF($M$119="x",2)+IF($M$105="x",1)+IF($M$110="x",1)+IF($M$111="x",2)+IF($M$112="x",4)+IF($M$108="x",1)-IF($M$109="x",1)-IF($M$99="x",1)+IF($M$90="x",1)-IF($I$85="x",4),
$C$3&lt;16,$C$3+IF($C$87="x",$I$3,$I$2)-$C$120+IF($C$75="x",2)+$I$16-$B$10+$M$94+IF($C$77="x",2)-IF($C$78="x",4)-IF($I$78="x",1)-IF($C$79="x",4)+IF($C$80="x",1)-IF($I$77="x",2)-IF($I$90="x",2)+IF($I$83="x",2)-IF($C$83="x",4)-$C$112+IF(H439="x",1)+I439+$M$77+IF(H441="x",1)+IF(J441="x",1)+IF($M$76="x",2)+J439+IF($M$85="x",1)+IF($M$113="x",1)+IF($M$120="x",2)+IF($M$119="x",2)+IF($M$105="x",1)+IF($M$110="x",1)+IF($M$111="x",2)+IF($M$112="x",4)+IF($M$108="x",1)-IF($M$109="x",1)+IF($M$99="x",20)-IF($M$99="x",1)+IF($M$90="x",1)-IF($I$85="x",4)
&amp;"/"&amp;$C$3+IF($C$87="x",$I$3,$I$2)-$C$120+IF($C$75="x",2)+$I$16-$B$10+$M$94+IF($C$77="x",2)-IF($C$78="x",4)-IF($I$78="x",1)-IF($C$79="x",4)+IF($C$80="x",1)-IF($I$77="x",2)-IF($I$90="x",2)+IF($I$83="x",2)-IF($C$83="x",4)-$C$112-5+IF(H439="x",1)+I439+$M$77+IF(H441="x",1)+IF(J441="x",1)+IF($M$76="x",2)+J439+IF($M$85="x",1)+IF($M$113="x",1)+IF($M$120="x",2)+IF($M$119="x",2)+IF($M$105="x",1)+IF($M$110="x",1)+IF($M$111="x",2)+IF($M$112="x",4)+IF($M$108="x",1)-IF($M$109="x",1)-IF($M$99="x",1)+IF($M$90="x",1)-IF($I$85="x",4)
&amp;"/"&amp;$C$3+IF($C$87="x",$I$3,$I$2)-$C$120+IF($C$75="x",2)+$I$16-$B$10+$M$94+IF($C$77="x",2)-IF($C$78="x",4)-IF($I$78="x",1)-IF($C$79="x",4)+IF($C$80="x",1)-IF($I$77="x",2)-IF($I$90="x",2)+IF($I$83="x",2)-IF($C$83="x",4)-$C$112-10+IF(H439="x",1)+I439+$M$77+IF(H441="x",1)+IF(J441="x",1)+IF($M$76="x",2)+J439+IF($M$85="x",1)+IF($M$113="x",1)+IF($M$120="x",2)+IF($M$119="x",2)+IF($M$105="x",1)+IF($M$110="x",1)+IF($M$111="x",2)+IF($M$112="x",4)+IF($M$108="x",1)-IF($M$109="x",1)-IF($M$99="x",1)+IF($M$90="x",1)-IF($I$85="x",4),
$C$3&gt;15,$C$3+IF($C$87="x",$I$3,$I$2)-$C$120+IF($C$75="x",2)+$I$16-$B$10+$M$94+IF($C$77="x",2)-IF($C$78="x",4)-IF($I$78="x",1)-IF($C$79="x",4)+IF($C$80="x",1)-IF($I$77="x",2)-IF($I$90="x",2)+IF($I$83="x",2)-IF($C$83="x",4)-$C$112+IF(H439="x",1)+I439+$M$77+IF(H441="x",1)+IF(J441="x",1)+IF($M$76="x",2)+J439+IF($M$85="x",1)+IF($M$113="x",1)+IF($M$120="x",2)+IF($M$119="x",2)+IF($M$105="x",1)+IF($M$110="x",1)+IF($M$111="x",2)+IF($M$112="x",4)+IF($M$108="x",1)-IF($M$109="x",1)-IF($M$99="x",1)+IF($M$90="x",1)-IF($I$85="x",4)
&amp;"/"&amp;$C$3+IF($C$87="x",$I$3,$I$2)-$C$120+IF($C$75="x",2)+$I$16-$B$10+$M$94+IF($C$77="x",2)-IF($C$78="x",4)-IF($I$78="x",1)-IF($C$79="x",4)+IF($C$80="x",1)-IF($I$77="x",2)-IF($I$90="x",2)+IF($I$83="x",2)-IF($C$83="x",4)-$C$112-5+IF(H439="x",1)+I439+$M$77+IF(H441="x",1)+IF(J441="x",1)+IF($M$76="x",2)+J439+IF($M$85="x",1)+IF($M$113="x",1)+IF($M$120="x",2)+IF($M$119="x",2)+IF($M$105="x",1)+IF($M$110="x",1)+IF($M$111="x",2)+IF($M$112="x",4)+IF($M$108="x",1)-IF($M$109="x",1)-IF($M$99="x",1)+IF($M$90="x",1)-IF($I$85="x",4)
&amp;"/"&amp;$C$3+IF($C$87="x",$I$3,$I$2)-$C$120+IF($C$75="x",2)+$I$16-$B$10+$M$94+IF($C$77="x",2)-IF($C$78="x",4)-IF($I$78="x",1)-IF($C$79="x",4)+IF($C$80="x",1)-IF($I$77="x",2)-IF($I$90="x",2)+IF($I$83="x",2)-IF($C$83="x",4)-$C$112-10+IF(H439="x",1)+I439+$M$77+IF(H441="x",1)+IF(J441="x",1)+IF($M$76="x",2)+J439+IF($M$85="x",1)+IF($M$113="x",1)+IF($M$120="x",2)+IF($M$119="x",2)+IF($M$105="x",1)+IF($M$110="x",1)+IF($M$111="x",2)+IF($M$112="x",4)+IF($M$108="x",1)-IF($M$109="x",1)-IF($M$99="x",1)+IF($M$90="x",1)-IF($I$85="x",4)
&amp;"/"&amp;$C$3+IF($C$87="x",$I$3,$I$2)-$C$120+IF($C$75="x",2)+$I$16-$B$10+$M$94+IF($C$77="x",2)-IF($C$78="x",4)-IF($I$78="x",1)-IF($C$79="x",4)+IF($C$80="x",1)-IF($I$77="x",2)-IF($I$90="x",2)+IF($I$83="x",2)-IF($C$83="x",4)-$C$112-15+IF(H439="x",1)+I439+$M$77+IF(H441="x",1)+IF(J441="x",1)+IF($M$76="x",2)+J439+IF($M$85="x",1)+IF($M$113="x",1)+IF($M$120="x",2)+IF($M$119="x",2)+IF($M$105="x",1)+IF($M$110="x",1)+IF($M$111="x",2)+IF($M$112="x",4)+IF($M$108="x",1)-IF($M$109="x",1)-IF($M$99="x",1)+IF($M$90="x",1)-IF($I$85="x",4))</f>
        <v>0</v>
      </c>
      <c r="C439" s="49" t="str">
        <f>_xlfn.IFS($C$7="Minimaalinen","1",$C$7="Taskukokoinen","1n2",$C$7="Hyvin pieni","1n3",$C$7="Pieni","1n4",$C$7="Keskikokoinen","1n6",$C$7="Iso","1n8",$C$7="Valtava","2n6",$C$7="Suunnaton","3n6",$C$7="Giganttinen","4n6")</f>
        <v>1n6</v>
      </c>
      <c r="D439" s="18">
        <f>SUM($I$2+$C$120)+I439+$M$77+IF(I441="x",2)+IF(K441="x",2)+IF($M$119="x",2)+IF($M$108="x",1)+$M$94-IF($M$109="x",1)+K439</f>
        <v>0</v>
      </c>
      <c r="E439" s="49" t="str">
        <f>_xlfn.IFS($C$7="Minimaalinen","3",$C$7="Taskukokoinen","3n2",$C$7="Hyvin pieni","3n3",$C$7="Pieni","3n4",$C$7="Keskikokoinen","3n6",$C$7="Iso","3n8",$C$7="Valtava","6n6",$C$7="Suunnaton","9n6",$C$7="Giganttinen","12n6")</f>
        <v>3n6</v>
      </c>
      <c r="F439" s="12">
        <f>SUM(D439*3)</f>
        <v>0</v>
      </c>
      <c r="G439" s="12" t="str">
        <f>(IF($I$89="x","50 %","")&amp;(IF($C$81="x","20 %",""))&amp;(IF($C$82="x","50 %",""&amp;IF($M$91="x","50 % (5 j 20 %)",""&amp;IF($M$115="x","50 % (5 j 20 %)","")))))</f>
        <v/>
      </c>
      <c r="H439" s="28"/>
      <c r="I439" s="17">
        <v>0</v>
      </c>
      <c r="J439" s="17">
        <v>0</v>
      </c>
      <c r="K439" s="17">
        <v>0</v>
      </c>
      <c r="AB439" s="52"/>
      <c r="AC439" s="53"/>
      <c r="AD439" s="53"/>
      <c r="AE439" s="53"/>
      <c r="AF439" s="53"/>
      <c r="AG439" s="54"/>
      <c r="AH439" s="53"/>
      <c r="AI439" s="40"/>
      <c r="AJ439" s="40"/>
      <c r="AK439" s="40"/>
      <c r="AL439" s="40"/>
    </row>
    <row r="440" spans="1:38" x14ac:dyDescent="0.2">
      <c r="A440" s="25" t="s">
        <v>435</v>
      </c>
      <c r="B440" s="121">
        <f>_xlfn.IFS($C$3&lt;6,$C$3+IF($C$87="x",$I$3,$I$2)-$C$120+IF($C$75="x",2)+$I$16-$B$10+$M$94+IF($C$77="x",2)-IF($C$78="x",4)-IF($I$78="x",1)-IF($C$79="x",4)+IF($C$80="x",1)-IF($I$77="x",2)-IF($I$90="x",2)+IF($I$83="x",2)-IF($C$75="x",4)-$C$112+IF(H439="x",1)+I439+$M$77+IF(H441="x",1)+IF(J441="x",1)+IF($M$76="x",2)+J439+IF($M$85="x",1)+IF($M$113="x",1)+IF($M$120="x",2)+IF($M$119="x",2)+IF($M$105="x",1)+IF($M$110="x",1)+IF($M$111="x",2)+IF($M$112="x",4)+IF($M$108="x",1)-IF($M$109="x",1)-IF($M$99="x",1)+IF($M$90="x",1)-IF($I$85="x",4)-IF($C$97="x",2,4),
$C$3&lt;11,$C$3+IF($C$87="x",$I$3,$I$2)-$C$120+IF($C$75="x",2)+$I$16-$B$10+$M$94+IF($C$77="x",2)-IF($C$78="x",4)-IF($I$78="x",1)-IF($C$79="x",4)+IF($C$80="x",1)-IF($I$77="x",2)-IF($I$90="x",2)+IF($I$83="x",2)-IF($C$83="x",4)-$C$112+IF(H439="x",1)+I439+$M$77+IF(H441="x",1)+IF(J441="x",1)+IF($M$76="x",2)+J439+IF($M$85="x",1)+IF($M$113="x",1)+IF($M$120="x",2)+IF($M$119="x",2)+IF($M$105="x",1)+IF($M$110="x",1)+IF($M$111="x",2)+IF($M$112="x",4)+IF($M$108="x",1)-IF($M$109="x",1)-IF($M$99="x",1)+IF($M$90="x",1)-IF($I$85="x",4)-IF($C$97="x",2,4)
&amp;"/"&amp;$C$3+IF($C$87="x",$I$3,$I$2)-$C$120+IF($C$75="x",2)+$I$16-$B$10+$M$94+IF($C$77="x",2)-IF($C$78="x",4)-IF($I$78="x",1)-IF($C$79="x",4)+IF($C$80="x",1)-IF($I$77="x",2)-IF($I$90="x",2)+IF($I$83="x",2)-IF($C$83="x",4)-$C$112-5+IF(H439="x",1)+I439+$M$77+IF(H441="x",1)+IF(J441="x",1)+IF($M$76="x",2)+J439+IF($M$85="x",1)+IF($M$113="x",1)+IF($M$120="x",2)+IF($M$119="x",2)+IF($M$105="x",1)+IF($M$110="x",1)+IF($M$111="x",2)+IF($M$112="x",4)+IF($M$108="x",1)-IF($M$109="x",1)-IF($M$99="x",1)+IF($M$90="x",1)-IF($I$85="x",4)-IF($C$97="x",2,4),
$C$3&lt;16,$C$3+IF($C$87="x",$I$3,$I$2)-$C$120+IF($C$75="x",2)+$I$16-$B$10+$M$94+IF($C$77="x",2)-IF($C$78="x",4)-IF($I$78="x",1)-IF($C$79="x",4)+IF($C$80="x",1)-IF($I$77="x",2)-IF($I$90="x",2)+IF($I$83="x",2)-IF($C$83="x",4)-$C$112+IF(H439="x",1)+I439+$M$77+IF(H441="x",1)+IF(J441="x",1)+IF($M$76="x",2)+J439+IF($M$85="x",1)+IF($M$113="x",1)+IF($M$120="x",2)+IF($M$119="x",2)+IF($M$105="x",1)+IF($M$110="x",1)+IF($M$111="x",2)+IF($M$112="x",4)+IF($M$108="x",1)-IF($M$109="x",1)+IF($M$99="x",20)-IF($M$99="x",1)+IF($M$90="x",1)-IF($I$85="x",4)-IF($C$97="x",2,4)
&amp;"/"&amp;$C$3+IF($C$87="x",$I$3,$I$2)-$C$120+IF($C$75="x",2)+$I$16-$B$10+$M$94+IF($C$77="x",2)-IF($C$78="x",4)-IF($I$78="x",1)-IF($C$79="x",4)+IF($C$80="x",1)-IF($I$77="x",2)-IF($I$90="x",2)+IF($I$83="x",2)-IF($C$83="x",4)-$C$112-5+IF(H439="x",1)+I439+$M$77+IF(H441="x",1)+IF(J441="x",1)+IF($M$76="x",2)+J439+IF($M$85="x",1)+IF($M$113="x",1)+IF($M$120="x",2)+IF($M$119="x",2)+IF($M$105="x",1)+IF($M$110="x",1)+IF($M$111="x",2)+IF($M$112="x",4)+IF($M$108="x",1)-IF($M$109="x",1)-IF($M$99="x",1)+IF($M$90="x",1)-IF($I$85="x",4)-IF($C$97="x",2,4)
&amp;"/"&amp;$C$3+IF($C$87="x",$I$3,$I$2)-$C$120+IF($C$75="x",2)+$I$16-$B$10+$M$94+IF($C$77="x",2)-IF($C$78="x",4)-IF($I$78="x",1)-IF($C$79="x",4)+IF($C$80="x",1)-IF($I$77="x",2)-IF($I$90="x",2)+IF($I$83="x",2)-IF($C$83="x",4)-$C$112-10+IF(H439="x",1)+I439+$M$77+IF(H441="x",1)+IF(J441="x",1)+IF($M$76="x",2)+J439+IF($M$85="x",1)+IF($M$113="x",1)+IF($M$120="x",2)+IF($M$119="x",2)+IF($M$105="x",1)+IF($M$110="x",1)+IF($M$111="x",2)+IF($M$112="x",4)+IF($M$108="x",1)-IF($M$109="x",1)-IF($M$99="x",1)+IF($M$90="x",1)-IF($I$85="x",4)-IF($C$97="x",2,4),
$C$3&gt;15,$C$3+IF($C$87="x",$I$3,$I$2)-$C$120+IF($C$75="x",2)+$I$16-$B$10+$M$94+IF($C$77="x",2)-IF($C$78="x",4)-IF($I$78="x",1)-IF($C$79="x",4)+IF($C$80="x",1)-IF($I$77="x",2)-IF($I$90="x",2)+IF($I$83="x",2)-IF($C$83="x",4)-$C$112+IF(H439="x",1)+I439+$M$77+IF(H441="x",1)+IF(J441="x",1)+IF($M$76="x",2)+J439+IF($M$85="x",1)+IF($M$113="x",1)+IF($M$120="x",2)+IF($M$119="x",2)+IF($M$105="x",1)+IF($M$110="x",1)+IF($M$111="x",2)+IF($M$112="x",4)+IF($M$108="x",1)-IF($M$109="x",1)-IF($M$99="x",1)+IF($M$90="x",1)-IF($I$85="x",4)-IF($C$97="x",2,4)
&amp;"/"&amp;$C$3+IF($C$87="x",$I$3,$I$2)-$C$120+IF($C$75="x",2)+$I$16-$B$10+$M$94+IF($C$77="x",2)-IF($C$78="x",4)-IF($I$78="x",1)-IF($C$79="x",4)+IF($C$80="x",1)-IF($I$77="x",2)-IF($I$90="x",2)+IF($I$83="x",2)-IF($C$83="x",4)-$C$112-5+IF(H439="x",1)+I439+$M$77+IF(H441="x",1)+IF(J441="x",1)+IF($M$76="x",2)+J439+IF($M$85="x",1)+IF($M$113="x",1)+IF($M$120="x",2)+IF($M$119="x",2)+IF($M$105="x",1)+IF($M$110="x",1)+IF($M$111="x",2)+IF($M$112="x",4)+IF($M$108="x",1)-IF($M$109="x",1)-IF($M$99="x",1)+IF($M$90="x",1)-IF($I$85="x",4)-IF($C$97="x",2,4)
&amp;"/"&amp;$C$3+IF($C$87="x",$I$3,$I$2)-$C$120+IF($C$75="x",2)+$I$16-$B$10+$M$94+IF($C$77="x",2)-IF($C$78="x",4)-IF($I$78="x",1)-IF($C$79="x",4)+IF($C$80="x",1)-IF($I$77="x",2)-IF($I$90="x",2)+IF($I$83="x",2)-IF($C$83="x",4)-$C$112-10+IF(H439="x",1)+I439+$M$77+IF(H441="x",1)+IF(J441="x",1)+IF($M$76="x",2)+J439+IF($M$85="x",1)+IF($M$113="x",1)+IF($M$120="x",2)+IF($M$119="x",2)+IF($M$105="x",1)+IF($M$110="x",1)+IF($M$111="x",2)+IF($M$112="x",4)+IF($M$108="x",1)-IF($M$109="x",1)-IF($M$99="x",1)+IF($M$90="x",1)-IF($I$85="x",4)-IF($C$97="x",2,4)
&amp;"/"&amp;$C$3+IF($C$87="x",$I$3,$I$2)-$C$120+IF($C$75="x",2)+$I$16-$B$10+$M$94+IF($C$77="x",2)-IF($C$78="x",4)-IF($I$78="x",1)-IF($C$79="x",4)+IF($C$80="x",1)-IF($I$77="x",2)-IF($I$90="x",2)+IF($I$83="x",2)-IF($C$83="x",4)-$C$112-15+IF(H439="x",1)+I439+$M$77+IF(H441="x",1)+IF(J441="x",1)+IF($M$76="x",2)+J439+IF($M$85="x",1)+IF($M$113="x",1)+IF($M$120="x",2)+IF($M$119="x",2)+IF($M$105="x",1)+IF($M$110="x",1)+IF($M$111="x",2)+IF($M$112="x",4)+IF($M$108="x",1)-IF($M$109="x",1)-IF($M$99="x",1)+IF($M$90="x",1)-IF($I$85="x",4)-IF($C$97="x",2,4))</f>
        <v>-4</v>
      </c>
      <c r="C440" s="49" t="str">
        <f>_xlfn.IFS($C$7="Minimaalinen","1",$C$7="Taskukokoinen","1n2",$C$7="Hyvin pieni","1n3",$C$7="Pieni","1n4",$C$7="Keskikokoinen","1n6",$C$7="Iso","1n8",$C$7="Valtava","2n6",$C$7="Suunnaton","3n6",$C$7="Giganttinen","4n6")</f>
        <v>1n6</v>
      </c>
      <c r="D440" s="121">
        <f>SUM($I$2+$C$120)+I439+$M$77+IF(I441="x",2)+IF(K441="x",2)+IF($M$119="x",2)+IF($M$108="x",1)+$M$94-IF($M$109="x",1)+K439</f>
        <v>0</v>
      </c>
      <c r="E440" s="49" t="str">
        <f>_xlfn.IFS($C$7="Minimaalinen","3",$C$7="Taskukokoinen","3n2",$C$7="Hyvin pieni","3n3",$C$7="Pieni","3n4",$C$7="Keskikokoinen","3n6",$C$7="Iso","3n8",$C$7="Valtava","6n6",$C$7="Suunnaton","9n6",$C$7="Giganttinen","12n6")</f>
        <v>3n6</v>
      </c>
      <c r="F440" s="12">
        <f>SUM(D440*3)</f>
        <v>0</v>
      </c>
      <c r="G440" s="82" t="str">
        <f>(IF($I$89="x","50 %","")&amp;(IF($C$81="x","20 %",""))&amp;(IF($C$82="x","50 %","")))</f>
        <v/>
      </c>
      <c r="H440" s="14" t="s">
        <v>220</v>
      </c>
      <c r="I440" s="14" t="s">
        <v>221</v>
      </c>
      <c r="J440" s="14" t="s">
        <v>222</v>
      </c>
      <c r="K440" s="14" t="s">
        <v>223</v>
      </c>
      <c r="AB440" s="55"/>
      <c r="AC440" s="50"/>
      <c r="AD440" s="56"/>
      <c r="AE440" s="56"/>
      <c r="AF440" s="56"/>
      <c r="AG440" s="56"/>
      <c r="AH440" s="56"/>
      <c r="AI440" s="48"/>
      <c r="AJ440" s="57"/>
      <c r="AK440" s="57"/>
      <c r="AL440" s="57"/>
    </row>
    <row r="441" spans="1:38" x14ac:dyDescent="0.2">
      <c r="A441" s="122" t="s">
        <v>436</v>
      </c>
      <c r="B441" s="123">
        <f>IF($I$85="x","PAINISSA",IF(AND($C$90="",$C$118=""),SUM($C$3,$I$2)-$C$120+IF($C$75="x",2)+$I$16-$B$10+$M$94+IF($C$77="x",2)-IF($C$78="x",4)-IF($I$78="x",1)-IF($C$79="x",4)+IF($C$80="x",1)-IF($I$77="x",2)-IF($I$90="x",2)+IF($I$83="x",2)-IF($C$75="x",4)-$C$112+IF(H439="x",1)+I439+$M$77+IF(H441="x",1)+IF(J441="x",1)+IF($M$76="x",2)+J439+IF($M$85="x",1)+IF($M$113="x",1)+IF($M$120="x",2)+IF($M$119="x",2)+IF($M$105="x",1)+IF($M$110="x",1)+IF($M$111="x",2)+IF($M$112="x",4)+IF($M$108="x",1)-IF($M$109="x",1)-IF($M$99="x",1)+IF($M$90="x",1)-IF($C$97="x",2,8),
IF(AND($C$90="x",$C$118=""),SUM($C$3,$I$2)-$C$120+IF($C$75="x",2)+$I$16-$B$10+$M$94+IF($C$77="x",2)-IF($C$78="x",4)-IF($I$78="x",1)-IF($C$79="x",4)+IF($C$80="x",1)-IF($I$77="x",2)-IF($I$90="x",2)+IF($I$83="x",2)-IF($C$83="x",4)-$C$112+IF(H439="x",1)+I439+$M$77+IF(H441="x",1)+IF(J441="x",1)+IF($M$76="x",2)+J439+IF($M$85="x",1)+IF($M$113="x",1)+IF($M$120="x",2)+IF($M$119="x",2)+IF($M$105="x",1)+IF($M$110="x",1)+IF($M$111="x",2)+IF($M$112="x",4)+IF($M$108="x",1)-IF($M$109="x",1)-IF($M$99="x",1)+IF($M$90="x",1)-IF($C$97="x",2,8)
&amp;"/"&amp;SUM($C$3,$I$2)-$C$120+IF($C$75="x",2)+$I$16-$B$10+$M$94+IF($C$77="x",2)-IF($C$78="x",4)-IF($I$78="x",1)-IF($C$79="x",4)+IF($C$80="x",1)-IF($I$77="x",2)-IF($I$90="x",2)+IF($I$83="x",2)-IF($C$83="x",4)-$C$112+IF(H439="x",1)+I439+$M$77+IF(H441="x",1)+IF(J441="x",1)+IF($M$76="x",2)+J439+IF($M$85="x",1)+IF($M$113="x",1)+IF($M$120="x",2)+IF($M$119="x",2)+IF($M$105="x",1)+IF($M$110="x",1)+IF($M$111="x",2)+IF($M$112="x",4)+IF($M$108="x",1)-IF($M$109="x",1)-IF($M$99="x",1)+IF($M$90="x",1)-IF($C$97="x",2,8)-5,
IF(AND($C$90="x",$C$118="x"),SUM($C$3,$I$2)-$C$120+IF($C$75="x",2)+$I$16-$B$10+$M$94+IF($C$77="x",2)-IF($C$78="x",4)-IF($I$78="x",1)-IF($C$79="x",4)+IF($C$80="x",1)-IF($I$77="x",2)-IF($I$90="x",2)+IF($I$83="x",2)-IF($C$83="x",4)-$C$112+IF(H439="x",1)+I439+$M$77+IF(H441="x",1)+IF(J441="x",1)+IF($M$76="x",2)+J439+IF($M$85="x",1)+IF($M$113="x",1)+IF($M$120="x",2)+IF($M$119="x",2)+IF($M$105="x",1)+IF($M$110="x",1)+IF($M$111="x",2)+IF($M$112="x",4)+IF($M$108="x",1)-IF($M$109="x",1)+IF($M$99="x",20)-IF($M$99="x",1)+IF($M$90="x",1)-IF($C$97="x",2,8)
&amp;"/"&amp;SUM($C$3,$I$2)-$C$120+IF($C$75="x",2)+$I$16-$B$10+$M$94+IF($C$77="x",2)-IF($C$78="x",4)-IF($I$78="x",1)-IF($C$79="x",4)+IF($C$80="x",1)-IF($I$77="x",2)-IF($I$90="x",2)+IF($I$83="x",2)-IF($C$83="x",4)-$C$112-5+IF(H439="x",1)+I439+$M$77+IF(H441="x",1)+IF(J441="x",1)+IF($M$76="x",2)+J439+IF($M$85="x",1)+IF($M$113="x",1)+IF($M$120="x",2)+IF($M$119="x",2)+IF($M$105="x",1)+IF($M$110="x",1)+IF($M$111="x",2)+IF($M$112="x",4)+IF($M$108="x",1)-IF($M$109="x",1)-IF($M$99="x",1)+IF($M$90="x",1)-IF($C$97="x",4,10)
&amp;"/"&amp;SUM($C$3,$I$2)-$C$120+IF($C$75="x",2)+$I$16-$B$10+$M$94+IF($C$77="x",2)-IF($C$78="x",4)-IF($I$78="x",1)-IF($C$79="x",4)+IF($C$80="x",1)-IF($I$77="x",2)-IF($I$90="x",2)+IF($I$83="x",2)-IF($C$83="x",4)-$C$112-10+IF(H439="x",1)+I439+$M$77+IF(H441="x",1)+IF(J441="x",1)+IF($M$76="x",2)+J439+IF($M$85="x",1)+IF($M$113="x",1)+IF($M$120="x",2)+IF($M$119="x",2)+IF($M$105="x",1)+IF($M$110="x",1)+IF($M$111="x",2)+IF($M$112="x",4)+IF($M$108="x",1)-IF($M$109="x",1)-IF($M$99="x",1)+IF($M$90="x",1)-IF($C$97="x",2,8)))))</f>
        <v>-8</v>
      </c>
      <c r="C441" s="54" t="str">
        <f>_xlfn.IFS($C$7="Minimaalinen","1",$C$7="Taskukokoinen","1n2",$C$7="Hyvin pieni","1n3",$C$7="Pieni","1n4",$C$7="Keskikokoinen","1n6",$C$7="Iso","1n8",$C$7="Valtava","2n6",$C$7="Suunnaton","3n6",$C$7="Giganttinen","4n6")</f>
        <v>1n6</v>
      </c>
      <c r="D441" s="123">
        <f>INT($I$2/2)+($C$120)+I439+$M$77+IF(I441="x",2)+IF(K441="x",2)+IF($M$119="x",2)+IF($M$108="x",1)+$M$94-IF($M$109="x",1)+K439</f>
        <v>0</v>
      </c>
      <c r="E441" s="54" t="str">
        <f>_xlfn.IFS($C$7="Minimaalinen","3",$C$7="Taskukokoinen","3n2",$C$7="Hyvin pieni","3n3",$C$7="Pieni","3n4",$C$7="Keskikokoinen","3n6",$C$7="Iso","3n8",$C$7="Valtava","6n6",$C$7="Suunnaton","9n6",$C$7="Giganttinen","12n6")</f>
        <v>3n6</v>
      </c>
      <c r="F441" s="124">
        <f>SUM(D441*3)</f>
        <v>0</v>
      </c>
      <c r="G441" s="123" t="str">
        <f>(IF($I$89="x","50 %","")&amp;(IF($C$81="x","20 %",""))&amp;(IF($C$82="x","50 %","")))</f>
        <v/>
      </c>
      <c r="H441" s="28"/>
      <c r="I441" s="28"/>
      <c r="J441" s="28"/>
      <c r="K441" s="28"/>
      <c r="AB441" s="59"/>
      <c r="AC441" s="51"/>
      <c r="AD441" s="49"/>
      <c r="AE441" s="51"/>
      <c r="AF441" s="49"/>
      <c r="AG441" s="49"/>
      <c r="AH441" s="49"/>
      <c r="AI441" s="40"/>
      <c r="AJ441" s="60"/>
      <c r="AK441" s="57"/>
      <c r="AL441" s="61"/>
    </row>
    <row r="442" spans="1:38" x14ac:dyDescent="0.2">
      <c r="B442" s="15"/>
      <c r="C442" s="15"/>
      <c r="D442" s="15"/>
      <c r="F442" s="15"/>
      <c r="G442" s="15"/>
      <c r="H442" s="15"/>
      <c r="I442" s="15"/>
      <c r="AB442" s="62"/>
      <c r="AC442" s="53"/>
      <c r="AD442" s="61"/>
      <c r="AE442" s="63"/>
      <c r="AF442" s="61"/>
      <c r="AG442" s="61"/>
      <c r="AH442" s="53"/>
      <c r="AI442" s="56"/>
      <c r="AJ442" s="56"/>
      <c r="AK442" s="56"/>
      <c r="AL442" s="56"/>
    </row>
    <row r="443" spans="1:38" x14ac:dyDescent="0.2">
      <c r="B443" s="15"/>
      <c r="C443" s="15"/>
      <c r="D443" s="15"/>
      <c r="F443" s="15"/>
      <c r="G443" s="15"/>
      <c r="H443" s="15"/>
      <c r="I443" s="15"/>
      <c r="AB443" s="59"/>
      <c r="AC443" s="51"/>
      <c r="AD443" s="61"/>
      <c r="AE443" s="63"/>
      <c r="AF443" s="61"/>
      <c r="AG443" s="61"/>
      <c r="AH443" s="49"/>
      <c r="AI443" s="56"/>
      <c r="AJ443" s="56"/>
      <c r="AK443" s="56"/>
      <c r="AL443" s="56"/>
    </row>
    <row r="444" spans="1:38" x14ac:dyDescent="0.2">
      <c r="A444" s="10" t="s">
        <v>294</v>
      </c>
      <c r="B444" s="11" t="s">
        <v>1</v>
      </c>
      <c r="C444" s="11" t="s">
        <v>2</v>
      </c>
      <c r="D444" s="11" t="s">
        <v>3</v>
      </c>
      <c r="E444" s="11" t="s">
        <v>229</v>
      </c>
      <c r="F444" s="11" t="s">
        <v>3</v>
      </c>
      <c r="G444" s="11" t="s">
        <v>45</v>
      </c>
      <c r="H444" s="14" t="s">
        <v>179</v>
      </c>
      <c r="I444" s="130" t="s">
        <v>242</v>
      </c>
      <c r="J444" s="130" t="s">
        <v>224</v>
      </c>
      <c r="K444" s="130" t="s">
        <v>225</v>
      </c>
      <c r="AB444" s="62"/>
      <c r="AC444" s="53"/>
      <c r="AD444" s="61"/>
      <c r="AE444" s="63"/>
      <c r="AF444" s="61"/>
      <c r="AG444" s="61"/>
      <c r="AH444" s="53"/>
      <c r="AI444" s="56"/>
      <c r="AJ444" s="56"/>
      <c r="AK444" s="56"/>
      <c r="AL444" s="56"/>
    </row>
    <row r="445" spans="1:38" x14ac:dyDescent="0.2">
      <c r="A445" s="15" t="s">
        <v>219</v>
      </c>
      <c r="B445" s="18">
        <f>_xlfn.IFS($C$3&lt;6,$C$3+IF($C$87="x",$I$3,$I$2)-$C$120+IF($C$75="x",2)+$I$16-$B$10+$M$94+IF($C$77="x",2)-IF($C$78="x",4)-IF($I$78="x",1)-IF($C$79="x",4)+IF($C$80="x",1)-IF($I$77="x",2)-IF($I$90="x",2)+IF($I$83="x",2)-IF($C$75="x",4)-$C$112+IF(H445="x",1)+I445+$M$77+IF(H447="x",1)+IF(J447="x",1)+IF($M$76="x",2)+J445+IF($M$85="x",1)+IF($M$113="x",1)+IF($M$120="x",2)+IF($M$119="x",2)+IF($M$105="x",1)+IF($M$110="x",1)+IF($M$111="x",2)+IF($M$112="x",4)+IF($M$108="x",1)-IF($M$109="x",1)-IF($M$99="x",1)+IF($M$90="x",1)-IF($I$85="x",4),
$C$3&lt;11,$C$3+IF($C$87="x",$I$3,$I$2)-$C$120+IF($C$75="x",2)+$I$16-$B$10+$M$94+IF($C$77="x",2)-IF($C$78="x",4)-IF($I$78="x",1)-IF($C$79="x",4)+IF($C$80="x",1)-IF($I$77="x",2)-IF($I$90="x",2)+IF($I$83="x",2)-IF($C$83="x",4)-$C$112+IF(H445="x",1)+I445+$M$77+IF(H447="x",1)+IF(J447="x",1)+IF($M$76="x",2)+J445+IF($M$85="x",1)+IF($M$113="x",1)+IF($M$120="x",2)+IF($M$119="x",2)+IF($M$105="x",1)+IF($M$110="x",1)+IF($M$111="x",2)+IF($M$112="x",4)+IF($M$108="x",1)-IF($M$109="x",1)-IF($M$99="x",1)+IF($M$90="x",1)-IF($I$85="x",4)
&amp;"/"&amp;$C$3+IF($C$87="x",$I$3,$I$2)-$C$120+IF($C$75="x",2)+$I$16-$B$10+$M$94+IF($C$77="x",2)-IF($C$78="x",4)-IF($I$78="x",1)-IF($C$79="x",4)+IF($C$80="x",1)-IF($I$77="x",2)-IF($I$90="x",2)+IF($I$83="x",2)-IF($C$83="x",4)-$C$112-5+IF(H445="x",1)+I445+$M$77+IF(H447="x",1)+IF(J447="x",1)+IF($M$76="x",2)+J445+IF($M$85="x",1)+IF($M$113="x",1)+IF($M$120="x",2)+IF($M$119="x",2)+IF($M$105="x",1)+IF($M$110="x",1)+IF($M$111="x",2)+IF($M$112="x",4)+IF($M$108="x",1)-IF($M$109="x",1)-IF($M$99="x",1)+IF($M$90="x",1)-IF($I$85="x",4),
$C$3&lt;16,$C$3+IF($C$87="x",$I$3,$I$2)-$C$120+IF($C$75="x",2)+$I$16-$B$10+$M$94+IF($C$77="x",2)-IF($C$78="x",4)-IF($I$78="x",1)-IF($C$79="x",4)+IF($C$80="x",1)-IF($I$77="x",2)-IF($I$90="x",2)+IF($I$83="x",2)-IF($C$83="x",4)-$C$112+IF(H445="x",1)+I445+$M$77+IF(H447="x",1)+IF(J447="x",1)+IF($M$76="x",2)+J445+IF($M$85="x",1)+IF($M$113="x",1)+IF($M$120="x",2)+IF($M$119="x",2)+IF($M$105="x",1)+IF($M$110="x",1)+IF($M$111="x",2)+IF($M$112="x",4)+IF($M$108="x",1)-IF($M$109="x",1)+IF($M$99="x",20)-IF($M$99="x",1)+IF($M$90="x",1)-IF($I$85="x",4)
&amp;"/"&amp;$C$3+IF($C$87="x",$I$3,$I$2)-$C$120+IF($C$75="x",2)+$I$16-$B$10+$M$94+IF($C$77="x",2)-IF($C$78="x",4)-IF($I$78="x",1)-IF($C$79="x",4)+IF($C$80="x",1)-IF($I$77="x",2)-IF($I$90="x",2)+IF($I$83="x",2)-IF($C$83="x",4)-$C$112-5+IF(H445="x",1)+I445+$M$77+IF(H447="x",1)+IF(J447="x",1)+IF($M$76="x",2)+J445+IF($M$85="x",1)+IF($M$113="x",1)+IF($M$120="x",2)+IF($M$119="x",2)+IF($M$105="x",1)+IF($M$110="x",1)+IF($M$111="x",2)+IF($M$112="x",4)+IF($M$108="x",1)-IF($M$109="x",1)-IF($M$99="x",1)+IF($M$90="x",1)-IF($I$85="x",4)
&amp;"/"&amp;$C$3+IF($C$87="x",$I$3,$I$2)-$C$120+IF($C$75="x",2)+$I$16-$B$10+$M$94+IF($C$77="x",2)-IF($C$78="x",4)-IF($I$78="x",1)-IF($C$79="x",4)+IF($C$80="x",1)-IF($I$77="x",2)-IF($I$90="x",2)+IF($I$83="x",2)-IF($C$83="x",4)-$C$112-10+IF(H445="x",1)+I445+$M$77+IF(H447="x",1)+IF(J447="x",1)+IF($M$76="x",2)+J445+IF($M$85="x",1)+IF($M$113="x",1)+IF($M$120="x",2)+IF($M$119="x",2)+IF($M$105="x",1)+IF($M$110="x",1)+IF($M$111="x",2)+IF($M$112="x",4)+IF($M$108="x",1)-IF($M$109="x",1)-IF($M$99="x",1)+IF($M$90="x",1)-IF($I$85="x",4),
$C$3&gt;15,$C$3+IF($C$87="x",$I$3,$I$2)-$C$120+IF($C$75="x",2)+$I$16-$B$10+$M$94+IF($C$77="x",2)-IF($C$78="x",4)-IF($I$78="x",1)-IF($C$79="x",4)+IF($C$80="x",1)-IF($I$77="x",2)-IF($I$90="x",2)+IF($I$83="x",2)-IF($C$83="x",4)-$C$112+IF(H445="x",1)+I445+$M$77+IF(H447="x",1)+IF(J447="x",1)+IF($M$76="x",2)+J445+IF($M$85="x",1)+IF($M$113="x",1)+IF($M$120="x",2)+IF($M$119="x",2)+IF($M$105="x",1)+IF($M$110="x",1)+IF($M$111="x",2)+IF($M$112="x",4)+IF($M$108="x",1)-IF($M$109="x",1)-IF($M$99="x",1)+IF($M$90="x",1)-IF($I$85="x",4)
&amp;"/"&amp;$C$3+IF($C$87="x",$I$3,$I$2)-$C$120+IF($C$75="x",2)+$I$16-$B$10+$M$94+IF($C$77="x",2)-IF($C$78="x",4)-IF($I$78="x",1)-IF($C$79="x",4)+IF($C$80="x",1)-IF($I$77="x",2)-IF($I$90="x",2)+IF($I$83="x",2)-IF($C$83="x",4)-$C$112-5+IF(H445="x",1)+I445+$M$77+IF(H447="x",1)+IF(J447="x",1)+IF($M$76="x",2)+J445+IF($M$85="x",1)+IF($M$113="x",1)+IF($M$120="x",2)+IF($M$119="x",2)+IF($M$105="x",1)+IF($M$110="x",1)+IF($M$111="x",2)+IF($M$112="x",4)+IF($M$108="x",1)-IF($M$109="x",1)-IF($M$99="x",1)+IF($M$90="x",1)-IF($I$85="x",4)
&amp;"/"&amp;$C$3+IF($C$87="x",$I$3,$I$2)-$C$120+IF($C$75="x",2)+$I$16-$B$10+$M$94+IF($C$77="x",2)-IF($C$78="x",4)-IF($I$78="x",1)-IF($C$79="x",4)+IF($C$80="x",1)-IF($I$77="x",2)-IF($I$90="x",2)+IF($I$83="x",2)-IF($C$83="x",4)-$C$112-10+IF(H445="x",1)+I445+$M$77+IF(H447="x",1)+IF(J447="x",1)+IF($M$76="x",2)+J445+IF($M$85="x",1)+IF($M$113="x",1)+IF($M$120="x",2)+IF($M$119="x",2)+IF($M$105="x",1)+IF($M$110="x",1)+IF($M$111="x",2)+IF($M$112="x",4)+IF($M$108="x",1)-IF($M$109="x",1)-IF($M$99="x",1)+IF($M$90="x",1)-IF($I$85="x",4)
&amp;"/"&amp;$C$3+IF($C$87="x",$I$3,$I$2)-$C$120+IF($C$75="x",2)+$I$16-$B$10+$M$94+IF($C$77="x",2)-IF($C$78="x",4)-IF($I$78="x",1)-IF($C$79="x",4)+IF($C$80="x",1)-IF($I$77="x",2)-IF($I$90="x",2)+IF($I$83="x",2)-IF($C$83="x",4)-$C$112-15+IF(H445="x",1)+I445+$M$77+IF(H447="x",1)+IF(J447="x",1)+IF($M$76="x",2)+J445+IF($M$85="x",1)+IF($M$113="x",1)+IF($M$120="x",2)+IF($M$119="x",2)+IF($M$105="x",1)+IF($M$110="x",1)+IF($M$111="x",2)+IF($M$112="x",4)+IF($M$108="x",1)-IF($M$109="x",1)-IF($M$99="x",1)+IF($M$90="x",1)-IF($I$85="x",4))</f>
        <v>0</v>
      </c>
      <c r="C445" s="49" t="str">
        <f>_xlfn.IFS($C$7="Minimaalinen","1",$C$7="Taskukokoinen","1n2",$C$7="Hyvin pieni","1n3",$C$7="Pieni","1n4",$C$7="Keskikokoinen","1n6",$C$7="Iso","1n8",$C$7="Valtava","2n6",$C$7="Suunnaton","3n6",$C$7="Giganttinen","4n6")</f>
        <v>1n6</v>
      </c>
      <c r="D445" s="18">
        <f>SUM($I$2+$C$120)+I445+$M$77+IF(I447="x",2)+IF(K447="x",2)+IF($M$119="x",2)+IF($M$108="x",1)+$M$94-IF($M$109="x",1)+K445</f>
        <v>0</v>
      </c>
      <c r="E445" s="49" t="str">
        <f>_xlfn.IFS($C$7="Minimaalinen","2",$C$7="Taskukokoinen","2n2",$C$7="Hyvin pieni","2n3",$C$7="Pieni","2n4",$C$7="Keskikokoinen","2n6",$C$7="Iso","2n8",$C$7="Valtava","4n6",$C$7="Suunnaton","6n6",$C$7="Giganttinen","8n6")</f>
        <v>2n6</v>
      </c>
      <c r="F445" s="12">
        <f>SUM(D445*2)</f>
        <v>0</v>
      </c>
      <c r="G445" s="12" t="str">
        <f>(IF($I$89="x","50 %","")&amp;(IF($C$81="x","20 %",""))&amp;(IF($C$82="x","50 %",""&amp;IF($M$91="x","50 % (5 j 20 %)",""&amp;IF($M$115="x","50 % (5 j 20 %)","")))))</f>
        <v/>
      </c>
      <c r="H445" s="28"/>
      <c r="I445" s="17">
        <v>0</v>
      </c>
      <c r="J445" s="17">
        <v>0</v>
      </c>
      <c r="K445" s="17">
        <v>0</v>
      </c>
      <c r="AB445" s="59"/>
      <c r="AC445" s="51"/>
      <c r="AD445" s="61"/>
      <c r="AE445" s="63"/>
      <c r="AF445" s="61"/>
      <c r="AG445" s="61"/>
      <c r="AH445" s="49"/>
      <c r="AI445" s="57"/>
      <c r="AJ445" s="57"/>
      <c r="AK445" s="57"/>
      <c r="AL445" s="57"/>
    </row>
    <row r="446" spans="1:38" x14ac:dyDescent="0.2">
      <c r="A446" s="25" t="s">
        <v>435</v>
      </c>
      <c r="B446" s="121">
        <f>_xlfn.IFS($C$3&lt;6,$C$3+IF($C$87="x",$I$3,$I$2)-$C$120+IF($C$75="x",2)+$I$16-$B$10+$M$94+IF($C$77="x",2)-IF($C$78="x",4)-IF($I$78="x",1)-IF($C$79="x",4)+IF($C$80="x",1)-IF($I$77="x",2)-IF($I$90="x",2)+IF($I$83="x",2)-IF($C$75="x",4)-$C$112+IF(H445="x",1)+I445+$M$77+IF(H447="x",1)+IF(J447="x",1)+IF($M$76="x",2)+J445+IF($M$85="x",1)+IF($M$113="x",1)+IF($M$120="x",2)+IF($M$119="x",2)+IF($M$105="x",1)+IF($M$110="x",1)+IF($M$111="x",2)+IF($M$112="x",4)+IF($M$108="x",1)-IF($M$109="x",1)-IF($M$99="x",1)+IF($M$90="x",1)-IF($I$85="x",4)-IF($C$97="x",2,4),
$C$3&lt;11,$C$3+IF($C$87="x",$I$3,$I$2)-$C$120+IF($C$75="x",2)+$I$16-$B$10+$M$94+IF($C$77="x",2)-IF($C$78="x",4)-IF($I$78="x",1)-IF($C$79="x",4)+IF($C$80="x",1)-IF($I$77="x",2)-IF($I$90="x",2)+IF($I$83="x",2)-IF($C$83="x",4)-$C$112+IF(H445="x",1)+I445+$M$77+IF(H447="x",1)+IF(J447="x",1)+IF($M$76="x",2)+J445+IF($M$85="x",1)+IF($M$113="x",1)+IF($M$120="x",2)+IF($M$119="x",2)+IF($M$105="x",1)+IF($M$110="x",1)+IF($M$111="x",2)+IF($M$112="x",4)+IF($M$108="x",1)-IF($M$109="x",1)-IF($M$99="x",1)+IF($M$90="x",1)-IF($I$85="x",4)-IF($C$97="x",2,4)
&amp;"/"&amp;$C$3+IF($C$87="x",$I$3,$I$2)-$C$120+IF($C$75="x",2)+$I$16-$B$10+$M$94+IF($C$77="x",2)-IF($C$78="x",4)-IF($I$78="x",1)-IF($C$79="x",4)+IF($C$80="x",1)-IF($I$77="x",2)-IF($I$90="x",2)+IF($I$83="x",2)-IF($C$83="x",4)-$C$112-5+IF(H445="x",1)+I445+$M$77+IF(H447="x",1)+IF(J447="x",1)+IF($M$76="x",2)+J445+IF($M$85="x",1)+IF($M$113="x",1)+IF($M$120="x",2)+IF($M$119="x",2)+IF($M$105="x",1)+IF($M$110="x",1)+IF($M$111="x",2)+IF($M$112="x",4)+IF($M$108="x",1)-IF($M$109="x",1)-IF($M$99="x",1)+IF($M$90="x",1)-IF($I$85="x",4)-IF($C$97="x",2,4),
$C$3&lt;16,$C$3+IF($C$87="x",$I$3,$I$2)-$C$120+IF($C$75="x",2)+$I$16-$B$10+$M$94+IF($C$77="x",2)-IF($C$78="x",4)-IF($I$78="x",1)-IF($C$79="x",4)+IF($C$80="x",1)-IF($I$77="x",2)-IF($I$90="x",2)+IF($I$83="x",2)-IF($C$83="x",4)-$C$112+IF(H445="x",1)+I445+$M$77+IF(H447="x",1)+IF(J447="x",1)+IF($M$76="x",2)+J445+IF($M$85="x",1)+IF($M$113="x",1)+IF($M$120="x",2)+IF($M$119="x",2)+IF($M$105="x",1)+IF($M$110="x",1)+IF($M$111="x",2)+IF($M$112="x",4)+IF($M$108="x",1)-IF($M$109="x",1)+IF($M$99="x",20)-IF($M$99="x",1)+IF($M$90="x",1)-IF($I$85="x",4)-IF($C$97="x",2,4)
&amp;"/"&amp;$C$3+IF($C$87="x",$I$3,$I$2)-$C$120+IF($C$75="x",2)+$I$16-$B$10+$M$94+IF($C$77="x",2)-IF($C$78="x",4)-IF($I$78="x",1)-IF($C$79="x",4)+IF($C$80="x",1)-IF($I$77="x",2)-IF($I$90="x",2)+IF($I$83="x",2)-IF($C$83="x",4)-$C$112-5+IF(H445="x",1)+I445+$M$77+IF(H447="x",1)+IF(J447="x",1)+IF($M$76="x",2)+J445+IF($M$85="x",1)+IF($M$113="x",1)+IF($M$120="x",2)+IF($M$119="x",2)+IF($M$105="x",1)+IF($M$110="x",1)+IF($M$111="x",2)+IF($M$112="x",4)+IF($M$108="x",1)-IF($M$109="x",1)-IF($M$99="x",1)+IF($M$90="x",1)-IF($I$85="x",4)-IF($C$97="x",2,4)
&amp;"/"&amp;$C$3+IF($C$87="x",$I$3,$I$2)-$C$120+IF($C$75="x",2)+$I$16-$B$10+$M$94+IF($C$77="x",2)-IF($C$78="x",4)-IF($I$78="x",1)-IF($C$79="x",4)+IF($C$80="x",1)-IF($I$77="x",2)-IF($I$90="x",2)+IF($I$83="x",2)-IF($C$83="x",4)-$C$112-10+IF(H445="x",1)+I445+$M$77+IF(H447="x",1)+IF(J447="x",1)+IF($M$76="x",2)+J445+IF($M$85="x",1)+IF($M$113="x",1)+IF($M$120="x",2)+IF($M$119="x",2)+IF($M$105="x",1)+IF($M$110="x",1)+IF($M$111="x",2)+IF($M$112="x",4)+IF($M$108="x",1)-IF($M$109="x",1)-IF($M$99="x",1)+IF($M$90="x",1)-IF($I$85="x",4)-IF($C$97="x",2,4),
$C$3&gt;15,$C$3+IF($C$87="x",$I$3,$I$2)-$C$120+IF($C$75="x",2)+$I$16-$B$10+$M$94+IF($C$77="x",2)-IF($C$78="x",4)-IF($I$78="x",1)-IF($C$79="x",4)+IF($C$80="x",1)-IF($I$77="x",2)-IF($I$90="x",2)+IF($I$83="x",2)-IF($C$83="x",4)-$C$112+IF(H445="x",1)+I445+$M$77+IF(H447="x",1)+IF(J447="x",1)+IF($M$76="x",2)+J445+IF($M$85="x",1)+IF($M$113="x",1)+IF($M$120="x",2)+IF($M$119="x",2)+IF($M$105="x",1)+IF($M$110="x",1)+IF($M$111="x",2)+IF($M$112="x",4)+IF($M$108="x",1)-IF($M$109="x",1)-IF($M$99="x",1)+IF($M$90="x",1)-IF($I$85="x",4)-IF($C$97="x",2,4)
&amp;"/"&amp;$C$3+IF($C$87="x",$I$3,$I$2)-$C$120+IF($C$75="x",2)+$I$16-$B$10+$M$94+IF($C$77="x",2)-IF($C$78="x",4)-IF($I$78="x",1)-IF($C$79="x",4)+IF($C$80="x",1)-IF($I$77="x",2)-IF($I$90="x",2)+IF($I$83="x",2)-IF($C$83="x",4)-$C$112-5+IF(H445="x",1)+I445+$M$77+IF(H447="x",1)+IF(J447="x",1)+IF($M$76="x",2)+J445+IF($M$85="x",1)+IF($M$113="x",1)+IF($M$120="x",2)+IF($M$119="x",2)+IF($M$105="x",1)+IF($M$110="x",1)+IF($M$111="x",2)+IF($M$112="x",4)+IF($M$108="x",1)-IF($M$109="x",1)-IF($M$99="x",1)+IF($M$90="x",1)-IF($I$85="x",4)-IF($C$97="x",2,4)
&amp;"/"&amp;$C$3+IF($C$87="x",$I$3,$I$2)-$C$120+IF($C$75="x",2)+$I$16-$B$10+$M$94+IF($C$77="x",2)-IF($C$78="x",4)-IF($I$78="x",1)-IF($C$79="x",4)+IF($C$80="x",1)-IF($I$77="x",2)-IF($I$90="x",2)+IF($I$83="x",2)-IF($C$83="x",4)-$C$112-10+IF(H445="x",1)+I445+$M$77+IF(H447="x",1)+IF(J447="x",1)+IF($M$76="x",2)+J445+IF($M$85="x",1)+IF($M$113="x",1)+IF($M$120="x",2)+IF($M$119="x",2)+IF($M$105="x",1)+IF($M$110="x",1)+IF($M$111="x",2)+IF($M$112="x",4)+IF($M$108="x",1)-IF($M$109="x",1)-IF($M$99="x",1)+IF($M$90="x",1)-IF($I$85="x",4)-IF($C$97="x",2,4)
&amp;"/"&amp;$C$3+IF($C$87="x",$I$3,$I$2)-$C$120+IF($C$75="x",2)+$I$16-$B$10+$M$94+IF($C$77="x",2)-IF($C$78="x",4)-IF($I$78="x",1)-IF($C$79="x",4)+IF($C$80="x",1)-IF($I$77="x",2)-IF($I$90="x",2)+IF($I$83="x",2)-IF($C$83="x",4)-$C$112-15+IF(H445="x",1)+I445+$M$77+IF(H447="x",1)+IF(J447="x",1)+IF($M$76="x",2)+J445+IF($M$85="x",1)+IF($M$113="x",1)+IF($M$120="x",2)+IF($M$119="x",2)+IF($M$105="x",1)+IF($M$110="x",1)+IF($M$111="x",2)+IF($M$112="x",4)+IF($M$108="x",1)-IF($M$109="x",1)-IF($M$99="x",1)+IF($M$90="x",1)-IF($I$85="x",4)-IF($C$97="x",2,4))</f>
        <v>-4</v>
      </c>
      <c r="C446" s="49" t="str">
        <f>_xlfn.IFS($C$7="Minimaalinen","1",$C$7="Taskukokoinen","1n2",$C$7="Hyvin pieni","1n3",$C$7="Pieni","1n4",$C$7="Keskikokoinen","1n6",$C$7="Iso","1n8",$C$7="Valtava","2n6",$C$7="Suunnaton","3n6",$C$7="Giganttinen","4n6")</f>
        <v>1n6</v>
      </c>
      <c r="D446" s="121">
        <f>SUM($I$2+$C$120)+I445+$M$77+IF(I447="x",2)+IF(K447="x",2)+IF($M$119="x",2)+IF($M$108="x",1)+$M$94-IF($M$109="x",1)+K445</f>
        <v>0</v>
      </c>
      <c r="E446" s="49" t="str">
        <f>_xlfn.IFS($C$7="Minimaalinen","2",$C$7="Taskukokoinen","2n2",$C$7="Hyvin pieni","2n3",$C$7="Pieni","2n4",$C$7="Keskikokoinen","2n6",$C$7="Iso","2n8",$C$7="Valtava","4n6",$C$7="Suunnaton","6n6",$C$7="Giganttinen","8n6")</f>
        <v>2n6</v>
      </c>
      <c r="F446" s="82">
        <f>SUM(D446*2)</f>
        <v>0</v>
      </c>
      <c r="G446" s="82" t="str">
        <f>(IF($I$89="x","50 %","")&amp;(IF($C$81="x","20 %",""))&amp;(IF($C$82="x","50 %","")))</f>
        <v/>
      </c>
      <c r="H446" s="14" t="s">
        <v>220</v>
      </c>
      <c r="I446" s="14" t="s">
        <v>221</v>
      </c>
      <c r="J446" s="14" t="s">
        <v>222</v>
      </c>
      <c r="K446" s="14" t="s">
        <v>223</v>
      </c>
    </row>
    <row r="447" spans="1:38" x14ac:dyDescent="0.2">
      <c r="A447" s="122" t="s">
        <v>436</v>
      </c>
      <c r="B447" s="123">
        <f>IF($I$85="x","PAINISSA",IF(AND($C$90="",$C$118=""),SUM($C$3,$I$2)-$C$120+IF($C$75="x",2)+$I$16-$B$10+$M$94+IF($C$77="x",2)-IF($C$78="x",4)-IF($I$78="x",1)-IF($C$79="x",4)+IF($C$80="x",1)-IF($I$77="x",2)-IF($I$90="x",2)+IF($I$83="x",2)-IF($C$75="x",4)-$C$112+IF(H445="x",1)+I445+$M$77+IF(H447="x",1)+IF(J447="x",1)+IF($M$76="x",2)+J445+IF($M$85="x",1)+IF($M$113="x",1)+IF($M$120="x",2)+IF($M$119="x",2)+IF($M$105="x",1)+IF($M$110="x",1)+IF($M$111="x",2)+IF($M$112="x",4)+IF($M$108="x",1)-IF($M$109="x",1)-IF($M$99="x",1)+IF($M$90="x",1)-IF($C$97="x",2,8),
IF(AND($C$90="x",$C$118=""),SUM($C$3,$I$2)-$C$120+IF($C$75="x",2)+$I$16-$B$10+$M$94+IF($C$77="x",2)-IF($C$78="x",4)-IF($I$78="x",1)-IF($C$79="x",4)+IF($C$80="x",1)-IF($I$77="x",2)-IF($I$90="x",2)+IF($I$83="x",2)-IF($C$83="x",4)-$C$112+IF(H445="x",1)+I445+$M$77+IF(H447="x",1)+IF(J447="x",1)+IF($M$76="x",2)+J445+IF($M$85="x",1)+IF($M$113="x",1)+IF($M$120="x",2)+IF($M$119="x",2)+IF($M$105="x",1)+IF($M$110="x",1)+IF($M$111="x",2)+IF($M$112="x",4)+IF($M$108="x",1)-IF($M$109="x",1)-IF($M$99="x",1)+IF($M$90="x",1)-IF($C$97="x",2,8)
&amp;"/"&amp;SUM($C$3,$I$2)-$C$120+IF($C$75="x",2)+$I$16-$B$10+$M$94+IF($C$77="x",2)-IF($C$78="x",4)-IF($I$78="x",1)-IF($C$79="x",4)+IF($C$80="x",1)-IF($I$77="x",2)-IF($I$90="x",2)+IF($I$83="x",2)-IF($C$83="x",4)-$C$112+IF(H445="x",1)+I445+$M$77+IF(H447="x",1)+IF(J447="x",1)+IF($M$76="x",2)+J445+IF($M$85="x",1)+IF($M$113="x",1)+IF($M$120="x",2)+IF($M$119="x",2)+IF($M$105="x",1)+IF($M$110="x",1)+IF($M$111="x",2)+IF($M$112="x",4)+IF($M$108="x",1)-IF($M$109="x",1)-IF($M$99="x",1)+IF($M$90="x",1)-IF($C$97="x",2,8)-5,
IF(AND($C$90="x",$C$118="x"),SUM($C$3,$I$2)-$C$120+IF($C$75="x",2)+$I$16-$B$10+$M$94+IF($C$77="x",2)-IF($C$78="x",4)-IF($I$78="x",1)-IF($C$79="x",4)+IF($C$80="x",1)-IF($I$77="x",2)-IF($I$90="x",2)+IF($I$83="x",2)-IF($C$83="x",4)-$C$112+IF(H445="x",1)+I445+$M$77+IF(H447="x",1)+IF(J447="x",1)+IF($M$76="x",2)+J445+IF($M$85="x",1)+IF($M$113="x",1)+IF($M$120="x",2)+IF($M$119="x",2)+IF($M$105="x",1)+IF($M$110="x",1)+IF($M$111="x",2)+IF($M$112="x",4)+IF($M$108="x",1)-IF($M$109="x",1)+IF($M$99="x",20)-IF($M$99="x",1)+IF($M$90="x",1)-IF($C$97="x",2,8)
&amp;"/"&amp;SUM($C$3,$I$2)-$C$120+IF($C$75="x",2)+$I$16-$B$10+$M$94+IF($C$77="x",2)-IF($C$78="x",4)-IF($I$78="x",1)-IF($C$79="x",4)+IF($C$80="x",1)-IF($I$77="x",2)-IF($I$90="x",2)+IF($I$83="x",2)-IF($C$83="x",4)-$C$112-5+IF(H445="x",1)+I445+$M$77+IF(H447="x",1)+IF(J447="x",1)+IF($M$76="x",2)+J445+IF($M$85="x",1)+IF($M$113="x",1)+IF($M$120="x",2)+IF($M$119="x",2)+IF($M$105="x",1)+IF($M$110="x",1)+IF($M$111="x",2)+IF($M$112="x",4)+IF($M$108="x",1)-IF($M$109="x",1)-IF($M$99="x",1)+IF($M$90="x",1)-IF($C$97="x",4,10)
&amp;"/"&amp;SUM($C$3,$I$2)-$C$120+IF($C$75="x",2)+$I$16-$B$10+$M$94+IF($C$77="x",2)-IF($C$78="x",4)-IF($I$78="x",1)-IF($C$79="x",4)+IF($C$80="x",1)-IF($I$77="x",2)-IF($I$90="x",2)+IF($I$83="x",2)-IF($C$83="x",4)-$C$112-10+IF(H445="x",1)+I445+$M$77+IF(H447="x",1)+IF(J447="x",1)+IF($M$76="x",2)+J445+IF($M$85="x",1)+IF($M$113="x",1)+IF($M$120="x",2)+IF($M$119="x",2)+IF($M$105="x",1)+IF($M$110="x",1)+IF($M$111="x",2)+IF($M$112="x",4)+IF($M$108="x",1)-IF($M$109="x",1)-IF($M$99="x",1)+IF($M$90="x",1)-IF($C$97="x",2,8)))))</f>
        <v>-8</v>
      </c>
      <c r="C447" s="54" t="str">
        <f>_xlfn.IFS($C$7="Minimaalinen","1",$C$7="Taskukokoinen","1n2",$C$7="Hyvin pieni","1n3",$C$7="Pieni","1n4",$C$7="Keskikokoinen","1n6",$C$7="Iso","1n8",$C$7="Valtava","2n6",$C$7="Suunnaton","3n6",$C$7="Giganttinen","4n6")</f>
        <v>1n6</v>
      </c>
      <c r="D447" s="123">
        <f>INT($I$2/2)+($C$120)+I445+$M$77+IF(I447="x",2)+IF(K447="x",2)+IF($M$119="x",2)+IF($M$108="x",1)+$M$94-IF($M$109="x",1)+K445</f>
        <v>0</v>
      </c>
      <c r="E447" s="54" t="str">
        <f>_xlfn.IFS($C$7="Minimaalinen","2",$C$7="Taskukokoinen","2n2",$C$7="Hyvin pieni","2n3",$C$7="Pieni","2n4",$C$7="Keskikokoinen","2n6",$C$7="Iso","2n8",$C$7="Valtava","4n6",$C$7="Suunnaton","6n6",$C$7="Giganttinen","8n6")</f>
        <v>2n6</v>
      </c>
      <c r="F447" s="124">
        <f>SUM(D447*2)</f>
        <v>0</v>
      </c>
      <c r="G447" s="123" t="str">
        <f>(IF($I$89="x","50 %","")&amp;(IF($C$81="x","20 %",""))&amp;(IF($C$82="x","50 %","")))</f>
        <v/>
      </c>
      <c r="H447" s="28"/>
      <c r="I447" s="28"/>
      <c r="J447" s="28"/>
      <c r="K447" s="28"/>
    </row>
    <row r="448" spans="1:38" x14ac:dyDescent="0.2">
      <c r="B448" s="15"/>
      <c r="C448" s="15"/>
      <c r="D448" s="15"/>
      <c r="F448" s="15"/>
      <c r="G448" s="15"/>
      <c r="H448" s="15"/>
      <c r="I448" s="15"/>
      <c r="AB448" s="46"/>
    </row>
    <row r="449" spans="1:38" x14ac:dyDescent="0.2">
      <c r="B449" s="15"/>
      <c r="C449" s="15"/>
      <c r="D449" s="15"/>
      <c r="F449" s="15"/>
      <c r="G449" s="15"/>
      <c r="H449" s="15"/>
      <c r="I449" s="15"/>
      <c r="AB449" s="115"/>
      <c r="AC449" s="116"/>
      <c r="AD449" s="116"/>
      <c r="AE449" s="116"/>
      <c r="AF449" s="116"/>
      <c r="AG449" s="116"/>
      <c r="AH449" s="116"/>
      <c r="AI449" s="116"/>
      <c r="AJ449" s="116"/>
      <c r="AK449" s="116"/>
      <c r="AL449" s="116"/>
    </row>
    <row r="450" spans="1:38" x14ac:dyDescent="0.2">
      <c r="A450" s="10" t="s">
        <v>296</v>
      </c>
      <c r="B450" s="11" t="s">
        <v>1</v>
      </c>
      <c r="C450" s="11" t="s">
        <v>2</v>
      </c>
      <c r="D450" s="11" t="s">
        <v>3</v>
      </c>
      <c r="E450" s="11" t="s">
        <v>229</v>
      </c>
      <c r="F450" s="11" t="s">
        <v>3</v>
      </c>
      <c r="G450" s="11" t="s">
        <v>45</v>
      </c>
      <c r="H450" s="14" t="s">
        <v>179</v>
      </c>
      <c r="I450" s="130" t="s">
        <v>242</v>
      </c>
      <c r="J450" s="130" t="s">
        <v>224</v>
      </c>
      <c r="K450" s="130" t="s">
        <v>225</v>
      </c>
      <c r="AB450" s="47"/>
      <c r="AC450" s="113"/>
      <c r="AD450" s="114"/>
      <c r="AE450" s="113"/>
      <c r="AF450" s="114"/>
      <c r="AG450" s="114"/>
      <c r="AH450" s="114"/>
      <c r="AI450" s="40"/>
      <c r="AJ450" s="40"/>
      <c r="AK450" s="40"/>
      <c r="AL450" s="40"/>
    </row>
    <row r="451" spans="1:38" x14ac:dyDescent="0.2">
      <c r="A451" s="15" t="s">
        <v>219</v>
      </c>
      <c r="B451" s="18">
        <f>_xlfn.IFS($C$3&lt;6,$C$3+IF($C$87="x",$I$3,$I$2)-$C$120+IF($C$75="x",2)+$I$16-$B$10+$M$94+IF($C$77="x",2)-IF($C$78="x",4)-IF($I$78="x",1)-IF($C$79="x",4)+IF($C$80="x",1)-IF($I$77="x",2)-IF($I$90="x",2)+IF($I$83="x",2)-IF($C$75="x",4)-$C$112+IF(H451="x",1)+I451+$M$77+IF(H453="x",1)+IF(J453="x",1)+IF($M$76="x",2)+J451+IF($M$85="x",1)+IF($M$113="x",1)+IF($M$120="x",2)+IF($M$119="x",2)+IF($M$105="x",1)+IF($M$110="x",1)+IF($M$111="x",2)+IF($M$112="x",4)+IF($M$108="x",1)-IF($M$109="x",1)-IF($M$99="x",1)+IF($M$90="x",1)-IF($I$85="x",4),
$C$3&lt;11,$C$3+IF($C$87="x",$I$3,$I$2)-$C$120+IF($C$75="x",2)+$I$16-$B$10+$M$94+IF($C$77="x",2)-IF($C$78="x",4)-IF($I$78="x",1)-IF($C$79="x",4)+IF($C$80="x",1)-IF($I$77="x",2)-IF($I$90="x",2)+IF($I$83="x",2)-IF($C$83="x",4)-$C$112+IF(H451="x",1)+I451+$M$77+IF(H453="x",1)+IF(J453="x",1)+IF($M$76="x",2)+J451+IF($M$85="x",1)+IF($M$113="x",1)+IF($M$120="x",2)+IF($M$119="x",2)+IF($M$105="x",1)+IF($M$110="x",1)+IF($M$111="x",2)+IF($M$112="x",4)+IF($M$108="x",1)-IF($M$109="x",1)-IF($M$99="x",1)+IF($M$90="x",1)-IF($I$85="x",4)
&amp;"/"&amp;$C$3+IF($C$87="x",$I$3,$I$2)-$C$120+IF($C$75="x",2)+$I$16-$B$10+$M$94+IF($C$77="x",2)-IF($C$78="x",4)-IF($I$78="x",1)-IF($C$79="x",4)+IF($C$80="x",1)-IF($I$77="x",2)-IF($I$90="x",2)+IF($I$83="x",2)-IF($C$83="x",4)-$C$112-5+IF(H451="x",1)+I451+$M$77+IF(H453="x",1)+IF(J453="x",1)+IF($M$76="x",2)+J451+IF($M$85="x",1)+IF($M$113="x",1)+IF($M$120="x",2)+IF($M$119="x",2)+IF($M$105="x",1)+IF($M$110="x",1)+IF($M$111="x",2)+IF($M$112="x",4)+IF($M$108="x",1)-IF($M$109="x",1)-IF($M$99="x",1)+IF($M$90="x",1)-IF($I$85="x",4),
$C$3&lt;16,$C$3+IF($C$87="x",$I$3,$I$2)-$C$120+IF($C$75="x",2)+$I$16-$B$10+$M$94+IF($C$77="x",2)-IF($C$78="x",4)-IF($I$78="x",1)-IF($C$79="x",4)+IF($C$80="x",1)-IF($I$77="x",2)-IF($I$90="x",2)+IF($I$83="x",2)-IF($C$83="x",4)-$C$112+IF(H451="x",1)+I451+$M$77+IF(H453="x",1)+IF(J453="x",1)+IF($M$76="x",2)+J451+IF($M$85="x",1)+IF($M$113="x",1)+IF($M$120="x",2)+IF($M$119="x",2)+IF($M$105="x",1)+IF($M$110="x",1)+IF($M$111="x",2)+IF($M$112="x",4)+IF($M$108="x",1)-IF($M$109="x",1)+IF($M$99="x",20)-IF($M$99="x",1)+IF($M$90="x",1)-IF($I$85="x",4)
&amp;"/"&amp;$C$3+IF($C$87="x",$I$3,$I$2)-$C$120+IF($C$75="x",2)+$I$16-$B$10+$M$94+IF($C$77="x",2)-IF($C$78="x",4)-IF($I$78="x",1)-IF($C$79="x",4)+IF($C$80="x",1)-IF($I$77="x",2)-IF($I$90="x",2)+IF($I$83="x",2)-IF($C$83="x",4)-$C$112-5+IF(H451="x",1)+I451+$M$77+IF(H453="x",1)+IF(J453="x",1)+IF($M$76="x",2)+J451+IF($M$85="x",1)+IF($M$113="x",1)+IF($M$120="x",2)+IF($M$119="x",2)+IF($M$105="x",1)+IF($M$110="x",1)+IF($M$111="x",2)+IF($M$112="x",4)+IF($M$108="x",1)-IF($M$109="x",1)-IF($M$99="x",1)+IF($M$90="x",1)-IF($I$85="x",4)
&amp;"/"&amp;$C$3+IF($C$87="x",$I$3,$I$2)-$C$120+IF($C$75="x",2)+$I$16-$B$10+$M$94+IF($C$77="x",2)-IF($C$78="x",4)-IF($I$78="x",1)-IF($C$79="x",4)+IF($C$80="x",1)-IF($I$77="x",2)-IF($I$90="x",2)+IF($I$83="x",2)-IF($C$83="x",4)-$C$112-10+IF(H451="x",1)+I451+$M$77+IF(H453="x",1)+IF(J453="x",1)+IF($M$76="x",2)+J451+IF($M$85="x",1)+IF($M$113="x",1)+IF($M$120="x",2)+IF($M$119="x",2)+IF($M$105="x",1)+IF($M$110="x",1)+IF($M$111="x",2)+IF($M$112="x",4)+IF($M$108="x",1)-IF($M$109="x",1)-IF($M$99="x",1)+IF($M$90="x",1)-IF($I$85="x",4),
$C$3&gt;15,$C$3+IF($C$87="x",$I$3,$I$2)-$C$120+IF($C$75="x",2)+$I$16-$B$10+$M$94+IF($C$77="x",2)-IF($C$78="x",4)-IF($I$78="x",1)-IF($C$79="x",4)+IF($C$80="x",1)-IF($I$77="x",2)-IF($I$90="x",2)+IF($I$83="x",2)-IF($C$83="x",4)-$C$112+IF(H451="x",1)+I451+$M$77+IF(H453="x",1)+IF(J453="x",1)+IF($M$76="x",2)+J451+IF($M$85="x",1)+IF($M$113="x",1)+IF($M$120="x",2)+IF($M$119="x",2)+IF($M$105="x",1)+IF($M$110="x",1)+IF($M$111="x",2)+IF($M$112="x",4)+IF($M$108="x",1)-IF($M$109="x",1)-IF($M$99="x",1)+IF($M$90="x",1)-IF($I$85="x",4)
&amp;"/"&amp;$C$3+IF($C$87="x",$I$3,$I$2)-$C$120+IF($C$75="x",2)+$I$16-$B$10+$M$94+IF($C$77="x",2)-IF($C$78="x",4)-IF($I$78="x",1)-IF($C$79="x",4)+IF($C$80="x",1)-IF($I$77="x",2)-IF($I$90="x",2)+IF($I$83="x",2)-IF($C$83="x",4)-$C$112-5+IF(H451="x",1)+I451+$M$77+IF(H453="x",1)+IF(J453="x",1)+IF($M$76="x",2)+J451+IF($M$85="x",1)+IF($M$113="x",1)+IF($M$120="x",2)+IF($M$119="x",2)+IF($M$105="x",1)+IF($M$110="x",1)+IF($M$111="x",2)+IF($M$112="x",4)+IF($M$108="x",1)-IF($M$109="x",1)-IF($M$99="x",1)+IF($M$90="x",1)-IF($I$85="x",4)
&amp;"/"&amp;$C$3+IF($C$87="x",$I$3,$I$2)-$C$120+IF($C$75="x",2)+$I$16-$B$10+$M$94+IF($C$77="x",2)-IF($C$78="x",4)-IF($I$78="x",1)-IF($C$79="x",4)+IF($C$80="x",1)-IF($I$77="x",2)-IF($I$90="x",2)+IF($I$83="x",2)-IF($C$83="x",4)-$C$112-10+IF(H451="x",1)+I451+$M$77+IF(H453="x",1)+IF(J453="x",1)+IF($M$76="x",2)+J451+IF($M$85="x",1)+IF($M$113="x",1)+IF($M$120="x",2)+IF($M$119="x",2)+IF($M$105="x",1)+IF($M$110="x",1)+IF($M$111="x",2)+IF($M$112="x",4)+IF($M$108="x",1)-IF($M$109="x",1)-IF($M$99="x",1)+IF($M$90="x",1)-IF($I$85="x",4)
&amp;"/"&amp;$C$3+IF($C$87="x",$I$3,$I$2)-$C$120+IF($C$75="x",2)+$I$16-$B$10+$M$94+IF($C$77="x",2)-IF($C$78="x",4)-IF($I$78="x",1)-IF($C$79="x",4)+IF($C$80="x",1)-IF($I$77="x",2)-IF($I$90="x",2)+IF($I$83="x",2)-IF($C$83="x",4)-$C$112-15+IF(H451="x",1)+I451+$M$77+IF(H453="x",1)+IF(J453="x",1)+IF($M$76="x",2)+J451+IF($M$85="x",1)+IF($M$113="x",1)+IF($M$120="x",2)+IF($M$119="x",2)+IF($M$105="x",1)+IF($M$110="x",1)+IF($M$111="x",2)+IF($M$112="x",4)+IF($M$108="x",1)-IF($M$109="x",1)-IF($M$99="x",1)+IF($M$90="x",1)-IF($I$85="x",4))</f>
        <v>0</v>
      </c>
      <c r="C451" s="49" t="str">
        <f>_xlfn.IFS($C$7="Minimaalinen","1",$C$7="Taskukokoinen","1n2",$C$7="Hyvin pieni","1n3",$C$7="Pieni","1n4",$C$7="Keskikokoinen","1n6",$C$7="Iso","1n8",$C$7="Valtava","2n6",$C$7="Suunnaton","3n6",$C$7="Giganttinen","4n6")</f>
        <v>1n6</v>
      </c>
      <c r="D451" s="18">
        <f>SUM($I$2+$C$120)+I451+$M$77+IF(I453="x",2)+IF(K453="x",2)+IF($M$119="x",2)+IF($M$108="x",1)+$M$94-IF($M$109="x",1)+K451</f>
        <v>0</v>
      </c>
      <c r="E451" s="49" t="str">
        <f>_xlfn.IFS($C$7="Minimaalinen","2",$C$7="Taskukokoinen","2n2",$C$7="Hyvin pieni","2n3",$C$7="Pieni","2n4",$C$7="Keskikokoinen","2n6",$C$7="Iso","2n8",$C$7="Valtava","4n6",$C$7="Suunnaton","6n6",$C$7="Giganttinen","8n6")</f>
        <v>2n6</v>
      </c>
      <c r="F451" s="12">
        <f>SUM(D451*2)</f>
        <v>0</v>
      </c>
      <c r="G451" s="12" t="str">
        <f>(IF($I$89="x","50 %","")&amp;(IF($C$81="x","20 %",""))&amp;(IF($C$82="x","50 %",""&amp;IF($M$91="x","50 % (5 j 20 %)",""&amp;IF($M$115="x","50 % (5 j 20 %)","")))))</f>
        <v/>
      </c>
      <c r="H451" s="28"/>
      <c r="I451" s="17">
        <v>0</v>
      </c>
      <c r="J451" s="17">
        <v>0</v>
      </c>
      <c r="K451" s="17">
        <v>0</v>
      </c>
      <c r="AI451" s="48"/>
      <c r="AJ451" s="48"/>
      <c r="AK451" s="48"/>
      <c r="AL451" s="48"/>
    </row>
    <row r="452" spans="1:38" x14ac:dyDescent="0.2">
      <c r="A452" s="25" t="s">
        <v>435</v>
      </c>
      <c r="B452" s="121">
        <f>_xlfn.IFS($C$3&lt;6,$C$3+IF($C$87="x",$I$3,$I$2)-$C$120+IF($C$75="x",2)+$I$16-$B$10+$M$94+IF($C$77="x",2)-IF($C$78="x",4)-IF($I$78="x",1)-IF($C$79="x",4)+IF($C$80="x",1)-IF($I$77="x",2)-IF($I$90="x",2)+IF($I$83="x",2)-IF($C$75="x",4)-$C$112+IF(H451="x",1)+I451+$M$77+IF(H453="x",1)+IF(J453="x",1)+IF($M$76="x",2)+J451+IF($M$85="x",1)+IF($M$113="x",1)+IF($M$120="x",2)+IF($M$119="x",2)+IF($M$105="x",1)+IF($M$110="x",1)+IF($M$111="x",2)+IF($M$112="x",4)+IF($M$108="x",1)-IF($M$109="x",1)-IF($M$99="x",1)+IF($M$90="x",1)-IF($I$85="x",4)-IF($C$97="x",2,4),
$C$3&lt;11,$C$3+IF($C$87="x",$I$3,$I$2)-$C$120+IF($C$75="x",2)+$I$16-$B$10+$M$94+IF($C$77="x",2)-IF($C$78="x",4)-IF($I$78="x",1)-IF($C$79="x",4)+IF($C$80="x",1)-IF($I$77="x",2)-IF($I$90="x",2)+IF($I$83="x",2)-IF($C$83="x",4)-$C$112+IF(H451="x",1)+I451+$M$77+IF(H453="x",1)+IF(J453="x",1)+IF($M$76="x",2)+J451+IF($M$85="x",1)+IF($M$113="x",1)+IF($M$120="x",2)+IF($M$119="x",2)+IF($M$105="x",1)+IF($M$110="x",1)+IF($M$111="x",2)+IF($M$112="x",4)+IF($M$108="x",1)-IF($M$109="x",1)-IF($M$99="x",1)+IF($M$90="x",1)-IF($I$85="x",4)-IF($C$97="x",2,4)
&amp;"/"&amp;$C$3+IF($C$87="x",$I$3,$I$2)-$C$120+IF($C$75="x",2)+$I$16-$B$10+$M$94+IF($C$77="x",2)-IF($C$78="x",4)-IF($I$78="x",1)-IF($C$79="x",4)+IF($C$80="x",1)-IF($I$77="x",2)-IF($I$90="x",2)+IF($I$83="x",2)-IF($C$83="x",4)-$C$112-5+IF(H451="x",1)+I451+$M$77+IF(H453="x",1)+IF(J453="x",1)+IF($M$76="x",2)+J451+IF($M$85="x",1)+IF($M$113="x",1)+IF($M$120="x",2)+IF($M$119="x",2)+IF($M$105="x",1)+IF($M$110="x",1)+IF($M$111="x",2)+IF($M$112="x",4)+IF($M$108="x",1)-IF($M$109="x",1)-IF($M$99="x",1)+IF($M$90="x",1)-IF($I$85="x",4)-IF($C$97="x",2,4),
$C$3&lt;16,$C$3+IF($C$87="x",$I$3,$I$2)-$C$120+IF($C$75="x",2)+$I$16-$B$10+$M$94+IF($C$77="x",2)-IF($C$78="x",4)-IF($I$78="x",1)-IF($C$79="x",4)+IF($C$80="x",1)-IF($I$77="x",2)-IF($I$90="x",2)+IF($I$83="x",2)-IF($C$83="x",4)-$C$112+IF(H451="x",1)+I451+$M$77+IF(H453="x",1)+IF(J453="x",1)+IF($M$76="x",2)+J451+IF($M$85="x",1)+IF($M$113="x",1)+IF($M$120="x",2)+IF($M$119="x",2)+IF($M$105="x",1)+IF($M$110="x",1)+IF($M$111="x",2)+IF($M$112="x",4)+IF($M$108="x",1)-IF($M$109="x",1)+IF($M$99="x",20)-IF($M$99="x",1)+IF($M$90="x",1)-IF($I$85="x",4)-IF($C$97="x",2,4)
&amp;"/"&amp;$C$3+IF($C$87="x",$I$3,$I$2)-$C$120+IF($C$75="x",2)+$I$16-$B$10+$M$94+IF($C$77="x",2)-IF($C$78="x",4)-IF($I$78="x",1)-IF($C$79="x",4)+IF($C$80="x",1)-IF($I$77="x",2)-IF($I$90="x",2)+IF($I$83="x",2)-IF($C$83="x",4)-$C$112-5+IF(H451="x",1)+I451+$M$77+IF(H453="x",1)+IF(J453="x",1)+IF($M$76="x",2)+J451+IF($M$85="x",1)+IF($M$113="x",1)+IF($M$120="x",2)+IF($M$119="x",2)+IF($M$105="x",1)+IF($M$110="x",1)+IF($M$111="x",2)+IF($M$112="x",4)+IF($M$108="x",1)-IF($M$109="x",1)-IF($M$99="x",1)+IF($M$90="x",1)-IF($I$85="x",4)-IF($C$97="x",2,4)
&amp;"/"&amp;$C$3+IF($C$87="x",$I$3,$I$2)-$C$120+IF($C$75="x",2)+$I$16-$B$10+$M$94+IF($C$77="x",2)-IF($C$78="x",4)-IF($I$78="x",1)-IF($C$79="x",4)+IF($C$80="x",1)-IF($I$77="x",2)-IF($I$90="x",2)+IF($I$83="x",2)-IF($C$83="x",4)-$C$112-10+IF(H451="x",1)+I451+$M$77+IF(H453="x",1)+IF(J453="x",1)+IF($M$76="x",2)+J451+IF($M$85="x",1)+IF($M$113="x",1)+IF($M$120="x",2)+IF($M$119="x",2)+IF($M$105="x",1)+IF($M$110="x",1)+IF($M$111="x",2)+IF($M$112="x",4)+IF($M$108="x",1)-IF($M$109="x",1)-IF($M$99="x",1)+IF($M$90="x",1)-IF($I$85="x",4)-IF($C$97="x",2,4),
$C$3&gt;15,$C$3+IF($C$87="x",$I$3,$I$2)-$C$120+IF($C$75="x",2)+$I$16-$B$10+$M$94+IF($C$77="x",2)-IF($C$78="x",4)-IF($I$78="x",1)-IF($C$79="x",4)+IF($C$80="x",1)-IF($I$77="x",2)-IF($I$90="x",2)+IF($I$83="x",2)-IF($C$83="x",4)-$C$112+IF(H451="x",1)+I451+$M$77+IF(H453="x",1)+IF(J453="x",1)+IF($M$76="x",2)+J451+IF($M$85="x",1)+IF($M$113="x",1)+IF($M$120="x",2)+IF($M$119="x",2)+IF($M$105="x",1)+IF($M$110="x",1)+IF($M$111="x",2)+IF($M$112="x",4)+IF($M$108="x",1)-IF($M$109="x",1)-IF($M$99="x",1)+IF($M$90="x",1)-IF($I$85="x",4)-IF($C$97="x",2,4)
&amp;"/"&amp;$C$3+IF($C$87="x",$I$3,$I$2)-$C$120+IF($C$75="x",2)+$I$16-$B$10+$M$94+IF($C$77="x",2)-IF($C$78="x",4)-IF($I$78="x",1)-IF($C$79="x",4)+IF($C$80="x",1)-IF($I$77="x",2)-IF($I$90="x",2)+IF($I$83="x",2)-IF($C$83="x",4)-$C$112-5+IF(H451="x",1)+I451+$M$77+IF(H453="x",1)+IF(J453="x",1)+IF($M$76="x",2)+J451+IF($M$85="x",1)+IF($M$113="x",1)+IF($M$120="x",2)+IF($M$119="x",2)+IF($M$105="x",1)+IF($M$110="x",1)+IF($M$111="x",2)+IF($M$112="x",4)+IF($M$108="x",1)-IF($M$109="x",1)-IF($M$99="x",1)+IF($M$90="x",1)-IF($I$85="x",4)-IF($C$97="x",2,4)
&amp;"/"&amp;$C$3+IF($C$87="x",$I$3,$I$2)-$C$120+IF($C$75="x",2)+$I$16-$B$10+$M$94+IF($C$77="x",2)-IF($C$78="x",4)-IF($I$78="x",1)-IF($C$79="x",4)+IF($C$80="x",1)-IF($I$77="x",2)-IF($I$90="x",2)+IF($I$83="x",2)-IF($C$83="x",4)-$C$112-10+IF(H451="x",1)+I451+$M$77+IF(H453="x",1)+IF(J453="x",1)+IF($M$76="x",2)+J451+IF($M$85="x",1)+IF($M$113="x",1)+IF($M$120="x",2)+IF($M$119="x",2)+IF($M$105="x",1)+IF($M$110="x",1)+IF($M$111="x",2)+IF($M$112="x",4)+IF($M$108="x",1)-IF($M$109="x",1)-IF($M$99="x",1)+IF($M$90="x",1)-IF($I$85="x",4)-IF($C$97="x",2,4)
&amp;"/"&amp;$C$3+IF($C$87="x",$I$3,$I$2)-$C$120+IF($C$75="x",2)+$I$16-$B$10+$M$94+IF($C$77="x",2)-IF($C$78="x",4)-IF($I$78="x",1)-IF($C$79="x",4)+IF($C$80="x",1)-IF($I$77="x",2)-IF($I$90="x",2)+IF($I$83="x",2)-IF($C$83="x",4)-$C$112-15+IF(H451="x",1)+I451+$M$77+IF(H453="x",1)+IF(J453="x",1)+IF($M$76="x",2)+J451+IF($M$85="x",1)+IF($M$113="x",1)+IF($M$120="x",2)+IF($M$119="x",2)+IF($M$105="x",1)+IF($M$110="x",1)+IF($M$111="x",2)+IF($M$112="x",4)+IF($M$108="x",1)-IF($M$109="x",1)-IF($M$99="x",1)+IF($M$90="x",1)-IF($I$85="x",4)-IF($C$97="x",2,4))</f>
        <v>-4</v>
      </c>
      <c r="C452" s="49" t="str">
        <f>_xlfn.IFS($C$7="Minimaalinen","1",$C$7="Taskukokoinen","1n2",$C$7="Hyvin pieni","1n3",$C$7="Pieni","1n4",$C$7="Keskikokoinen","1n6",$C$7="Iso","1n8",$C$7="Valtava","2n6",$C$7="Suunnaton","3n6",$C$7="Giganttinen","4n6")</f>
        <v>1n6</v>
      </c>
      <c r="D452" s="121">
        <f>SUM($I$2+$C$120)+I451+$M$77+IF(I453="x",2)+IF(K453="x",2)+IF($M$119="x",2)+IF($M$108="x",1)+$M$94-IF($M$109="x",1)+K451</f>
        <v>0</v>
      </c>
      <c r="E452" s="49" t="str">
        <f>_xlfn.IFS($C$7="Minimaalinen","2",$C$7="Taskukokoinen","2n2",$C$7="Hyvin pieni","2n3",$C$7="Pieni","2n4",$C$7="Keskikokoinen","2n6",$C$7="Iso","2n8",$C$7="Valtava","4n6",$C$7="Suunnaton","6n6",$C$7="Giganttinen","8n6")</f>
        <v>2n6</v>
      </c>
      <c r="F452" s="82">
        <f>SUM(D452*2)</f>
        <v>0</v>
      </c>
      <c r="G452" s="82" t="str">
        <f>(IF($I$89="x","50 %","")&amp;(IF($C$81="x","20 %",""))&amp;(IF($C$82="x","50 %","")))</f>
        <v/>
      </c>
      <c r="H452" s="14" t="s">
        <v>220</v>
      </c>
      <c r="I452" s="14" t="s">
        <v>221</v>
      </c>
      <c r="J452" s="14" t="s">
        <v>222</v>
      </c>
      <c r="K452" s="14" t="s">
        <v>223</v>
      </c>
      <c r="AI452" s="40"/>
      <c r="AJ452" s="40"/>
      <c r="AK452" s="40"/>
      <c r="AL452" s="40"/>
    </row>
    <row r="453" spans="1:38" x14ac:dyDescent="0.2">
      <c r="A453" s="122" t="s">
        <v>436</v>
      </c>
      <c r="B453" s="123">
        <f>IF($I$85="x","PAINISSA",IF(AND($C$90="",$C$118=""),SUM($C$3,$I$2)-$C$120+IF($C$75="x",2)+$I$16-$B$10+$M$94+IF($C$77="x",2)-IF($C$78="x",4)-IF($I$78="x",1)-IF($C$79="x",4)+IF($C$80="x",1)-IF($I$77="x",2)-IF($I$90="x",2)+IF($I$83="x",2)-IF($C$75="x",4)-$C$112+IF(H451="x",1)+I451+$M$77+IF(H453="x",1)+IF(J453="x",1)+IF($M$76="x",2)+J451+IF($M$85="x",1)+IF($M$113="x",1)+IF($M$120="x",2)+IF($M$119="x",2)+IF($M$105="x",1)+IF($M$110="x",1)+IF($M$111="x",2)+IF($M$112="x",4)+IF($M$108="x",1)-IF($M$109="x",1)-IF($M$99="x",1)+IF($M$90="x",1)-IF($C$97="x",2,8),
IF(AND($C$90="x",$C$118=""),SUM($C$3,$I$2)-$C$120+IF($C$75="x",2)+$I$16-$B$10+$M$94+IF($C$77="x",2)-IF($C$78="x",4)-IF($I$78="x",1)-IF($C$79="x",4)+IF($C$80="x",1)-IF($I$77="x",2)-IF($I$90="x",2)+IF($I$83="x",2)-IF($C$83="x",4)-$C$112+IF(H451="x",1)+I451+$M$77+IF(H453="x",1)+IF(J453="x",1)+IF($M$76="x",2)+J451+IF($M$85="x",1)+IF($M$113="x",1)+IF($M$120="x",2)+IF($M$119="x",2)+IF($M$105="x",1)+IF($M$110="x",1)+IF($M$111="x",2)+IF($M$112="x",4)+IF($M$108="x",1)-IF($M$109="x",1)-IF($M$99="x",1)+IF($M$90="x",1)-IF($C$97="x",2,8)
&amp;"/"&amp;SUM($C$3,$I$2)-$C$120+IF($C$75="x",2)+$I$16-$B$10+$M$94+IF($C$77="x",2)-IF($C$78="x",4)-IF($I$78="x",1)-IF($C$79="x",4)+IF($C$80="x",1)-IF($I$77="x",2)-IF($I$90="x",2)+IF($I$83="x",2)-IF($C$83="x",4)-$C$112+IF(H451="x",1)+I451+$M$77+IF(H453="x",1)+IF(J453="x",1)+IF($M$76="x",2)+J451+IF($M$85="x",1)+IF($M$113="x",1)+IF($M$120="x",2)+IF($M$119="x",2)+IF($M$105="x",1)+IF($M$110="x",1)+IF($M$111="x",2)+IF($M$112="x",4)+IF($M$108="x",1)-IF($M$109="x",1)-IF($M$99="x",1)+IF($M$90="x",1)-IF($C$97="x",2,8)-5,
IF(AND($C$90="x",$C$118="x"),SUM($C$3,$I$2)-$C$120+IF($C$75="x",2)+$I$16-$B$10+$M$94+IF($C$77="x",2)-IF($C$78="x",4)-IF($I$78="x",1)-IF($C$79="x",4)+IF($C$80="x",1)-IF($I$77="x",2)-IF($I$90="x",2)+IF($I$83="x",2)-IF($C$83="x",4)-$C$112+IF(H451="x",1)+I451+$M$77+IF(H453="x",1)+IF(J453="x",1)+IF($M$76="x",2)+J451+IF($M$85="x",1)+IF($M$113="x",1)+IF($M$120="x",2)+IF($M$119="x",2)+IF($M$105="x",1)+IF($M$110="x",1)+IF($M$111="x",2)+IF($M$112="x",4)+IF($M$108="x",1)-IF($M$109="x",1)+IF($M$99="x",20)-IF($M$99="x",1)+IF($M$90="x",1)-IF($C$97="x",2,8)
&amp;"/"&amp;SUM($C$3,$I$2)-$C$120+IF($C$75="x",2)+$I$16-$B$10+$M$94+IF($C$77="x",2)-IF($C$78="x",4)-IF($I$78="x",1)-IF($C$79="x",4)+IF($C$80="x",1)-IF($I$77="x",2)-IF($I$90="x",2)+IF($I$83="x",2)-IF($C$83="x",4)-$C$112-5+IF(H451="x",1)+I451+$M$77+IF(H453="x",1)+IF(J453="x",1)+IF($M$76="x",2)+J451+IF($M$85="x",1)+IF($M$113="x",1)+IF($M$120="x",2)+IF($M$119="x",2)+IF($M$105="x",1)+IF($M$110="x",1)+IF($M$111="x",2)+IF($M$112="x",4)+IF($M$108="x",1)-IF($M$109="x",1)-IF($M$99="x",1)+IF($M$90="x",1)-IF($C$97="x",4,10)
&amp;"/"&amp;SUM($C$3,$I$2)-$C$120+IF($C$75="x",2)+$I$16-$B$10+$M$94+IF($C$77="x",2)-IF($C$78="x",4)-IF($I$78="x",1)-IF($C$79="x",4)+IF($C$80="x",1)-IF($I$77="x",2)-IF($I$90="x",2)+IF($I$83="x",2)-IF($C$83="x",4)-$C$112-10+IF(H451="x",1)+I451+$M$77+IF(H453="x",1)+IF(J453="x",1)+IF($M$76="x",2)+J451+IF($M$85="x",1)+IF($M$113="x",1)+IF($M$120="x",2)+IF($M$119="x",2)+IF($M$105="x",1)+IF($M$110="x",1)+IF($M$111="x",2)+IF($M$112="x",4)+IF($M$108="x",1)-IF($M$109="x",1)-IF($M$99="x",1)+IF($M$90="x",1)-IF($C$97="x",2,8)))))</f>
        <v>-8</v>
      </c>
      <c r="C453" s="54" t="str">
        <f>_xlfn.IFS($C$7="Minimaalinen","1",$C$7="Taskukokoinen","1n2",$C$7="Hyvin pieni","1n3",$C$7="Pieni","1n4",$C$7="Keskikokoinen","1n6",$C$7="Iso","1n8",$C$7="Valtava","2n6",$C$7="Suunnaton","3n6",$C$7="Giganttinen","4n6")</f>
        <v>1n6</v>
      </c>
      <c r="D453" s="123">
        <f>INT($I$2/2)+($C$120)+I451+$M$77+IF(I453="x",2)+IF(K453="x",2)+IF($M$119="x",2)+IF($M$108="x",1)+$M$94-IF($M$109="x",1)+K451</f>
        <v>0</v>
      </c>
      <c r="E453" s="54" t="str">
        <f>_xlfn.IFS($C$7="Minimaalinen","2",$C$7="Taskukokoinen","2n2",$C$7="Hyvin pieni","2n3",$C$7="Pieni","2n4",$C$7="Keskikokoinen","2n6",$C$7="Iso","2n8",$C$7="Valtava","4n6",$C$7="Suunnaton","6n6",$C$7="Giganttinen","8n6")</f>
        <v>2n6</v>
      </c>
      <c r="F453" s="124">
        <f>SUM(D453*2)</f>
        <v>0</v>
      </c>
      <c r="G453" s="123" t="str">
        <f>(IF($I$89="x","50 %","")&amp;(IF($C$81="x","20 %",""))&amp;(IF($C$82="x","50 %","")))</f>
        <v/>
      </c>
      <c r="H453" s="28"/>
      <c r="I453" s="28"/>
      <c r="J453" s="28"/>
      <c r="K453" s="28"/>
    </row>
    <row r="454" spans="1:38" x14ac:dyDescent="0.2">
      <c r="B454" s="15"/>
      <c r="C454" s="15"/>
      <c r="D454" s="15"/>
      <c r="F454" s="15"/>
      <c r="G454" s="15"/>
      <c r="H454" s="15"/>
      <c r="I454" s="15"/>
    </row>
    <row r="455" spans="1:38" x14ac:dyDescent="0.2">
      <c r="B455" s="15"/>
      <c r="C455" s="15"/>
      <c r="D455" s="15"/>
      <c r="F455" s="15"/>
      <c r="G455" s="15"/>
      <c r="H455" s="15"/>
      <c r="I455" s="15"/>
      <c r="AB455" s="115"/>
      <c r="AC455" s="116"/>
      <c r="AD455" s="116"/>
      <c r="AE455" s="116"/>
      <c r="AF455" s="116"/>
      <c r="AG455" s="116"/>
      <c r="AH455" s="116"/>
      <c r="AI455" s="116"/>
      <c r="AJ455" s="116"/>
      <c r="AK455" s="116"/>
      <c r="AL455" s="116"/>
    </row>
    <row r="456" spans="1:38" x14ac:dyDescent="0.2">
      <c r="A456" s="34" t="s">
        <v>297</v>
      </c>
      <c r="B456" s="11" t="s">
        <v>1</v>
      </c>
      <c r="C456" s="11" t="s">
        <v>2</v>
      </c>
      <c r="D456" s="11" t="s">
        <v>3</v>
      </c>
      <c r="E456" s="11" t="s">
        <v>229</v>
      </c>
      <c r="F456" s="11" t="s">
        <v>3</v>
      </c>
      <c r="G456" s="11" t="s">
        <v>45</v>
      </c>
      <c r="H456" s="14" t="s">
        <v>179</v>
      </c>
      <c r="I456" s="130" t="s">
        <v>242</v>
      </c>
      <c r="J456" s="130" t="s">
        <v>224</v>
      </c>
      <c r="K456" s="130" t="s">
        <v>225</v>
      </c>
      <c r="AB456" s="47"/>
      <c r="AC456" s="113"/>
      <c r="AD456" s="114"/>
      <c r="AE456" s="113"/>
      <c r="AF456" s="114"/>
      <c r="AG456" s="114"/>
      <c r="AH456" s="114"/>
      <c r="AI456" s="40"/>
      <c r="AJ456" s="40"/>
      <c r="AK456" s="40"/>
      <c r="AL456" s="40"/>
    </row>
    <row r="457" spans="1:38" x14ac:dyDescent="0.2">
      <c r="A457" s="15" t="s">
        <v>219</v>
      </c>
      <c r="B457" s="18">
        <f>_xlfn.IFS($C$3&lt;6,$C$3+IF($C$87="x",$I$3,$I$2)-$C$120+IF($C$75="x",2)+$I$16-$B$10+$M$94+IF($C$77="x",2)-IF($C$78="x",4)-IF($I$78="x",1)-IF($C$79="x",4)+IF($C$80="x",1)-IF($I$77="x",2)-IF($I$90="x",2)+IF($I$83="x",2)-IF($C$75="x",4)-$C$112+IF(H457="x",1)+I457+$M$77+IF(H459="x",1)+IF(J459="x",1)+IF($M$76="x",2)+J457+IF($M$85="x",1)+IF($M$113="x",1)+IF($M$120="x",2)+IF($M$119="x",2)+IF($M$105="x",1)+IF($M$110="x",1)+IF($M$111="x",2)+IF($M$112="x",4)+IF($M$108="x",1)-IF($M$109="x",1)-IF($M$99="x",1)+IF($M$90="x",1)-IF($I$85="x",4),
$C$3&lt;11,$C$3+IF($C$87="x",$I$3,$I$2)-$C$120+IF($C$75="x",2)+$I$16-$B$10+$M$94+IF($C$77="x",2)-IF($C$78="x",4)-IF($I$78="x",1)-IF($C$79="x",4)+IF($C$80="x",1)-IF($I$77="x",2)-IF($I$90="x",2)+IF($I$83="x",2)-IF($C$83="x",4)-$C$112+IF(H457="x",1)+I457+$M$77+IF(H459="x",1)+IF(J459="x",1)+IF($M$76="x",2)+J457+IF($M$85="x",1)+IF($M$113="x",1)+IF($M$120="x",2)+IF($M$119="x",2)+IF($M$105="x",1)+IF($M$110="x",1)+IF($M$111="x",2)+IF($M$112="x",4)+IF($M$108="x",1)-IF($M$109="x",1)-IF($M$99="x",1)+IF($M$90="x",1)-IF($I$85="x",4)
&amp;"/"&amp;$C$3+IF($C$87="x",$I$3,$I$2)-$C$120+IF($C$75="x",2)+$I$16-$B$10+$M$94+IF($C$77="x",2)-IF($C$78="x",4)-IF($I$78="x",1)-IF($C$79="x",4)+IF($C$80="x",1)-IF($I$77="x",2)-IF($I$90="x",2)+IF($I$83="x",2)-IF($C$83="x",4)-$C$112-5+IF(H457="x",1)+I457+$M$77+IF(H459="x",1)+IF(J459="x",1)+IF($M$76="x",2)+J457+IF($M$85="x",1)+IF($M$113="x",1)+IF($M$120="x",2)+IF($M$119="x",2)+IF($M$105="x",1)+IF($M$110="x",1)+IF($M$111="x",2)+IF($M$112="x",4)+IF($M$108="x",1)-IF($M$109="x",1)-IF($M$99="x",1)+IF($M$90="x",1)-IF($I$85="x",4),
$C$3&lt;16,$C$3+IF($C$87="x",$I$3,$I$2)-$C$120+IF($C$75="x",2)+$I$16-$B$10+$M$94+IF($C$77="x",2)-IF($C$78="x",4)-IF($I$78="x",1)-IF($C$79="x",4)+IF($C$80="x",1)-IF($I$77="x",2)-IF($I$90="x",2)+IF($I$83="x",2)-IF($C$83="x",4)-$C$112+IF(H457="x",1)+I457+$M$77+IF(H459="x",1)+IF(J459="x",1)+IF($M$76="x",2)+J457+IF($M$85="x",1)+IF($M$113="x",1)+IF($M$120="x",2)+IF($M$119="x",2)+IF($M$105="x",1)+IF($M$110="x",1)+IF($M$111="x",2)+IF($M$112="x",4)+IF($M$108="x",1)-IF($M$109="x",1)+IF($M$99="x",20)-IF($M$99="x",1)+IF($M$90="x",1)-IF($I$85="x",4)
&amp;"/"&amp;$C$3+IF($C$87="x",$I$3,$I$2)-$C$120+IF($C$75="x",2)+$I$16-$B$10+$M$94+IF($C$77="x",2)-IF($C$78="x",4)-IF($I$78="x",1)-IF($C$79="x",4)+IF($C$80="x",1)-IF($I$77="x",2)-IF($I$90="x",2)+IF($I$83="x",2)-IF($C$83="x",4)-$C$112-5+IF(H457="x",1)+I457+$M$77+IF(H459="x",1)+IF(J459="x",1)+IF($M$76="x",2)+J457+IF($M$85="x",1)+IF($M$113="x",1)+IF($M$120="x",2)+IF($M$119="x",2)+IF($M$105="x",1)+IF($M$110="x",1)+IF($M$111="x",2)+IF($M$112="x",4)+IF($M$108="x",1)-IF($M$109="x",1)-IF($M$99="x",1)+IF($M$90="x",1)-IF($I$85="x",4)
&amp;"/"&amp;$C$3+IF($C$87="x",$I$3,$I$2)-$C$120+IF($C$75="x",2)+$I$16-$B$10+$M$94+IF($C$77="x",2)-IF($C$78="x",4)-IF($I$78="x",1)-IF($C$79="x",4)+IF($C$80="x",1)-IF($I$77="x",2)-IF($I$90="x",2)+IF($I$83="x",2)-IF($C$83="x",4)-$C$112-10+IF(H457="x",1)+I457+$M$77+IF(H459="x",1)+IF(J459="x",1)+IF($M$76="x",2)+J457+IF($M$85="x",1)+IF($M$113="x",1)+IF($M$120="x",2)+IF($M$119="x",2)+IF($M$105="x",1)+IF($M$110="x",1)+IF($M$111="x",2)+IF($M$112="x",4)+IF($M$108="x",1)-IF($M$109="x",1)-IF($M$99="x",1)+IF($M$90="x",1)-IF($I$85="x",4),
$C$3&gt;15,$C$3+IF($C$87="x",$I$3,$I$2)-$C$120+IF($C$75="x",2)+$I$16-$B$10+$M$94+IF($C$77="x",2)-IF($C$78="x",4)-IF($I$78="x",1)-IF($C$79="x",4)+IF($C$80="x",1)-IF($I$77="x",2)-IF($I$90="x",2)+IF($I$83="x",2)-IF($C$83="x",4)-$C$112+IF(H457="x",1)+I457+$M$77+IF(H459="x",1)+IF(J459="x",1)+IF($M$76="x",2)+J457+IF($M$85="x",1)+IF($M$113="x",1)+IF($M$120="x",2)+IF($M$119="x",2)+IF($M$105="x",1)+IF($M$110="x",1)+IF($M$111="x",2)+IF($M$112="x",4)+IF($M$108="x",1)-IF($M$109="x",1)-IF($M$99="x",1)+IF($M$90="x",1)-IF($I$85="x",4)
&amp;"/"&amp;$C$3+IF($C$87="x",$I$3,$I$2)-$C$120+IF($C$75="x",2)+$I$16-$B$10+$M$94+IF($C$77="x",2)-IF($C$78="x",4)-IF($I$78="x",1)-IF($C$79="x",4)+IF($C$80="x",1)-IF($I$77="x",2)-IF($I$90="x",2)+IF($I$83="x",2)-IF($C$83="x",4)-$C$112-5+IF(H457="x",1)+I457+$M$77+IF(H459="x",1)+IF(J459="x",1)+IF($M$76="x",2)+J457+IF($M$85="x",1)+IF($M$113="x",1)+IF($M$120="x",2)+IF($M$119="x",2)+IF($M$105="x",1)+IF($M$110="x",1)+IF($M$111="x",2)+IF($M$112="x",4)+IF($M$108="x",1)-IF($M$109="x",1)-IF($M$99="x",1)+IF($M$90="x",1)-IF($I$85="x",4)
&amp;"/"&amp;$C$3+IF($C$87="x",$I$3,$I$2)-$C$120+IF($C$75="x",2)+$I$16-$B$10+$M$94+IF($C$77="x",2)-IF($C$78="x",4)-IF($I$78="x",1)-IF($C$79="x",4)+IF($C$80="x",1)-IF($I$77="x",2)-IF($I$90="x",2)+IF($I$83="x",2)-IF($C$83="x",4)-$C$112-10+IF(H457="x",1)+I457+$M$77+IF(H459="x",1)+IF(J459="x",1)+IF($M$76="x",2)+J457+IF($M$85="x",1)+IF($M$113="x",1)+IF($M$120="x",2)+IF($M$119="x",2)+IF($M$105="x",1)+IF($M$110="x",1)+IF($M$111="x",2)+IF($M$112="x",4)+IF($M$108="x",1)-IF($M$109="x",1)-IF($M$99="x",1)+IF($M$90="x",1)-IF($I$85="x",4)
&amp;"/"&amp;$C$3+IF($C$87="x",$I$3,$I$2)-$C$120+IF($C$75="x",2)+$I$16-$B$10+$M$94+IF($C$77="x",2)-IF($C$78="x",4)-IF($I$78="x",1)-IF($C$79="x",4)+IF($C$80="x",1)-IF($I$77="x",2)-IF($I$90="x",2)+IF($I$83="x",2)-IF($C$83="x",4)-$C$112-15+IF(H457="x",1)+I457+$M$77+IF(H459="x",1)+IF(J459="x",1)+IF($M$76="x",2)+J457+IF($M$85="x",1)+IF($M$113="x",1)+IF($M$120="x",2)+IF($M$119="x",2)+IF($M$105="x",1)+IF($M$110="x",1)+IF($M$111="x",2)+IF($M$112="x",4)+IF($M$108="x",1)-IF($M$109="x",1)-IF($M$99="x",1)+IF($M$90="x",1)-IF($I$85="x",4))</f>
        <v>0</v>
      </c>
      <c r="C457" s="49" t="str">
        <f>_xlfn.IFS($C$7="Minimaalinen","1",$C$7="Taskukokoinen","1n2",$C$7="Hyvin pieni","1n3",$C$7="Pieni","1n4",$C$7="Keskikokoinen","1n6",$C$7="Iso","1n8",$C$7="Valtava","2n6",$C$7="Suunnaton","3n6",$C$7="Giganttinen","4n6")</f>
        <v>1n6</v>
      </c>
      <c r="D457" s="18">
        <f>SUM($I$2+$C$120)+I457+$M$77+IF(I459="x",2)+IF(K459="x",2)+IF($M$119="x",2)+IF($M$108="x",1)+$M$94-IF($M$109="x",1)+K457</f>
        <v>0</v>
      </c>
      <c r="E457" s="49" t="str">
        <f>_xlfn.IFS($C$7="Minimaalinen","2",$C$7="Taskukokoinen","2n2",$C$7="Hyvin pieni","2n3",$C$7="Pieni","2n4",$C$7="Keskikokoinen","2n6",$C$7="Iso","2n8",$C$7="Valtava","4n6",$C$7="Suunnaton","6n6",$C$7="Giganttinen","8n6")</f>
        <v>2n6</v>
      </c>
      <c r="F457" s="12">
        <f>SUM(D457*2)</f>
        <v>0</v>
      </c>
      <c r="G457" s="12" t="str">
        <f>(IF($I$89="x","50 %","")&amp;(IF($C$81="x","20 %",""))&amp;(IF($C$82="x","50 %",""&amp;IF($M$91="x","50 % (5 j 20 %)",""&amp;IF($M$115="x","50 % (5 j 20 %)","")))))</f>
        <v/>
      </c>
      <c r="H457" s="28"/>
      <c r="I457" s="17">
        <v>0</v>
      </c>
      <c r="J457" s="17">
        <v>0</v>
      </c>
      <c r="K457" s="17">
        <v>0</v>
      </c>
      <c r="AI457" s="48"/>
      <c r="AJ457" s="48"/>
      <c r="AK457" s="48"/>
      <c r="AL457" s="48"/>
    </row>
    <row r="458" spans="1:38" x14ac:dyDescent="0.2">
      <c r="A458" s="25" t="s">
        <v>435</v>
      </c>
      <c r="B458" s="121">
        <f>_xlfn.IFS($C$3&lt;6,$C$3+IF($C$87="x",$I$3,$I$2)-$C$120+IF($C$75="x",2)+$I$16-$B$10+$M$94+IF($C$77="x",2)-IF($C$78="x",4)-IF($I$78="x",1)-IF($C$79="x",4)+IF($C$80="x",1)-IF($I$77="x",2)-IF($I$90="x",2)+IF($I$83="x",2)-IF($C$75="x",4)-$C$112+IF(H457="x",1)+I457+$M$77+IF(H459="x",1)+IF(J459="x",1)+IF($M$76="x",2)+J457+IF($M$85="x",1)+IF($M$113="x",1)+IF($M$120="x",2)+IF($M$119="x",2)+IF($M$105="x",1)+IF($M$110="x",1)+IF($M$111="x",2)+IF($M$112="x",4)+IF($M$108="x",1)-IF($M$109="x",1)-IF($M$99="x",1)+IF($M$90="x",1)-IF($I$85="x",4)-IF($C$97="x",2,4),
$C$3&lt;11,$C$3+IF($C$87="x",$I$3,$I$2)-$C$120+IF($C$75="x",2)+$I$16-$B$10+$M$94+IF($C$77="x",2)-IF($C$78="x",4)-IF($I$78="x",1)-IF($C$79="x",4)+IF($C$80="x",1)-IF($I$77="x",2)-IF($I$90="x",2)+IF($I$83="x",2)-IF($C$83="x",4)-$C$112+IF(H457="x",1)+I457+$M$77+IF(H459="x",1)+IF(J459="x",1)+IF($M$76="x",2)+J457+IF($M$85="x",1)+IF($M$113="x",1)+IF($M$120="x",2)+IF($M$119="x",2)+IF($M$105="x",1)+IF($M$110="x",1)+IF($M$111="x",2)+IF($M$112="x",4)+IF($M$108="x",1)-IF($M$109="x",1)-IF($M$99="x",1)+IF($M$90="x",1)-IF($I$85="x",4)-IF($C$97="x",2,4)
&amp;"/"&amp;$C$3+IF($C$87="x",$I$3,$I$2)-$C$120+IF($C$75="x",2)+$I$16-$B$10+$M$94+IF($C$77="x",2)-IF($C$78="x",4)-IF($I$78="x",1)-IF($C$79="x",4)+IF($C$80="x",1)-IF($I$77="x",2)-IF($I$90="x",2)+IF($I$83="x",2)-IF($C$83="x",4)-$C$112-5+IF(H457="x",1)+I457+$M$77+IF(H459="x",1)+IF(J459="x",1)+IF($M$76="x",2)+J457+IF($M$85="x",1)+IF($M$113="x",1)+IF($M$120="x",2)+IF($M$119="x",2)+IF($M$105="x",1)+IF($M$110="x",1)+IF($M$111="x",2)+IF($M$112="x",4)+IF($M$108="x",1)-IF($M$109="x",1)-IF($M$99="x",1)+IF($M$90="x",1)-IF($I$85="x",4)-IF($C$97="x",2,4),
$C$3&lt;16,$C$3+IF($C$87="x",$I$3,$I$2)-$C$120+IF($C$75="x",2)+$I$16-$B$10+$M$94+IF($C$77="x",2)-IF($C$78="x",4)-IF($I$78="x",1)-IF($C$79="x",4)+IF($C$80="x",1)-IF($I$77="x",2)-IF($I$90="x",2)+IF($I$83="x",2)-IF($C$83="x",4)-$C$112+IF(H457="x",1)+I457+$M$77+IF(H459="x",1)+IF(J459="x",1)+IF($M$76="x",2)+J457+IF($M$85="x",1)+IF($M$113="x",1)+IF($M$120="x",2)+IF($M$119="x",2)+IF($M$105="x",1)+IF($M$110="x",1)+IF($M$111="x",2)+IF($M$112="x",4)+IF($M$108="x",1)-IF($M$109="x",1)+IF($M$99="x",20)-IF($M$99="x",1)+IF($M$90="x",1)-IF($I$85="x",4)-IF($C$97="x",2,4)
&amp;"/"&amp;$C$3+IF($C$87="x",$I$3,$I$2)-$C$120+IF($C$75="x",2)+$I$16-$B$10+$M$94+IF($C$77="x",2)-IF($C$78="x",4)-IF($I$78="x",1)-IF($C$79="x",4)+IF($C$80="x",1)-IF($I$77="x",2)-IF($I$90="x",2)+IF($I$83="x",2)-IF($C$83="x",4)-$C$112-5+IF(H457="x",1)+I457+$M$77+IF(H459="x",1)+IF(J459="x",1)+IF($M$76="x",2)+J457+IF($M$85="x",1)+IF($M$113="x",1)+IF($M$120="x",2)+IF($M$119="x",2)+IF($M$105="x",1)+IF($M$110="x",1)+IF($M$111="x",2)+IF($M$112="x",4)+IF($M$108="x",1)-IF($M$109="x",1)-IF($M$99="x",1)+IF($M$90="x",1)-IF($I$85="x",4)-IF($C$97="x",2,4)
&amp;"/"&amp;$C$3+IF($C$87="x",$I$3,$I$2)-$C$120+IF($C$75="x",2)+$I$16-$B$10+$M$94+IF($C$77="x",2)-IF($C$78="x",4)-IF($I$78="x",1)-IF($C$79="x",4)+IF($C$80="x",1)-IF($I$77="x",2)-IF($I$90="x",2)+IF($I$83="x",2)-IF($C$83="x",4)-$C$112-10+IF(H457="x",1)+I457+$M$77+IF(H459="x",1)+IF(J459="x",1)+IF($M$76="x",2)+J457+IF($M$85="x",1)+IF($M$113="x",1)+IF($M$120="x",2)+IF($M$119="x",2)+IF($M$105="x",1)+IF($M$110="x",1)+IF($M$111="x",2)+IF($M$112="x",4)+IF($M$108="x",1)-IF($M$109="x",1)-IF($M$99="x",1)+IF($M$90="x",1)-IF($I$85="x",4)-IF($C$97="x",2,4),
$C$3&gt;15,$C$3+IF($C$87="x",$I$3,$I$2)-$C$120+IF($C$75="x",2)+$I$16-$B$10+$M$94+IF($C$77="x",2)-IF($C$78="x",4)-IF($I$78="x",1)-IF($C$79="x",4)+IF($C$80="x",1)-IF($I$77="x",2)-IF($I$90="x",2)+IF($I$83="x",2)-IF($C$83="x",4)-$C$112+IF(H457="x",1)+I457+$M$77+IF(H459="x",1)+IF(J459="x",1)+IF($M$76="x",2)+J457+IF($M$85="x",1)+IF($M$113="x",1)+IF($M$120="x",2)+IF($M$119="x",2)+IF($M$105="x",1)+IF($M$110="x",1)+IF($M$111="x",2)+IF($M$112="x",4)+IF($M$108="x",1)-IF($M$109="x",1)-IF($M$99="x",1)+IF($M$90="x",1)-IF($I$85="x",4)-IF($C$97="x",2,4)
&amp;"/"&amp;$C$3+IF($C$87="x",$I$3,$I$2)-$C$120+IF($C$75="x",2)+$I$16-$B$10+$M$94+IF($C$77="x",2)-IF($C$78="x",4)-IF($I$78="x",1)-IF($C$79="x",4)+IF($C$80="x",1)-IF($I$77="x",2)-IF($I$90="x",2)+IF($I$83="x",2)-IF($C$83="x",4)-$C$112-5+IF(H457="x",1)+I457+$M$77+IF(H459="x",1)+IF(J459="x",1)+IF($M$76="x",2)+J457+IF($M$85="x",1)+IF($M$113="x",1)+IF($M$120="x",2)+IF($M$119="x",2)+IF($M$105="x",1)+IF($M$110="x",1)+IF($M$111="x",2)+IF($M$112="x",4)+IF($M$108="x",1)-IF($M$109="x",1)-IF($M$99="x",1)+IF($M$90="x",1)-IF($I$85="x",4)-IF($C$97="x",2,4)
&amp;"/"&amp;$C$3+IF($C$87="x",$I$3,$I$2)-$C$120+IF($C$75="x",2)+$I$16-$B$10+$M$94+IF($C$77="x",2)-IF($C$78="x",4)-IF($I$78="x",1)-IF($C$79="x",4)+IF($C$80="x",1)-IF($I$77="x",2)-IF($I$90="x",2)+IF($I$83="x",2)-IF($C$83="x",4)-$C$112-10+IF(H457="x",1)+I457+$M$77+IF(H459="x",1)+IF(J459="x",1)+IF($M$76="x",2)+J457+IF($M$85="x",1)+IF($M$113="x",1)+IF($M$120="x",2)+IF($M$119="x",2)+IF($M$105="x",1)+IF($M$110="x",1)+IF($M$111="x",2)+IF($M$112="x",4)+IF($M$108="x",1)-IF($M$109="x",1)-IF($M$99="x",1)+IF($M$90="x",1)-IF($I$85="x",4)-IF($C$97="x",2,4)
&amp;"/"&amp;$C$3+IF($C$87="x",$I$3,$I$2)-$C$120+IF($C$75="x",2)+$I$16-$B$10+$M$94+IF($C$77="x",2)-IF($C$78="x",4)-IF($I$78="x",1)-IF($C$79="x",4)+IF($C$80="x",1)-IF($I$77="x",2)-IF($I$90="x",2)+IF($I$83="x",2)-IF($C$83="x",4)-$C$112-15+IF(H457="x",1)+I457+$M$77+IF(H459="x",1)+IF(J459="x",1)+IF($M$76="x",2)+J457+IF($M$85="x",1)+IF($M$113="x",1)+IF($M$120="x",2)+IF($M$119="x",2)+IF($M$105="x",1)+IF($M$110="x",1)+IF($M$111="x",2)+IF($M$112="x",4)+IF($M$108="x",1)-IF($M$109="x",1)-IF($M$99="x",1)+IF($M$90="x",1)-IF($I$85="x",4)-IF($C$97="x",2,4))</f>
        <v>-4</v>
      </c>
      <c r="C458" s="49" t="str">
        <f>_xlfn.IFS($C$7="Minimaalinen","1",$C$7="Taskukokoinen","1n2",$C$7="Hyvin pieni","1n3",$C$7="Pieni","1n4",$C$7="Keskikokoinen","1n6",$C$7="Iso","1n8",$C$7="Valtava","2n6",$C$7="Suunnaton","3n6",$C$7="Giganttinen","4n6")</f>
        <v>1n6</v>
      </c>
      <c r="D458" s="121">
        <f>SUM($I$2+$C$120)+I457+$M$77+IF(I459="x",2)+IF(K459="x",2)+IF($M$119="x",2)+IF($M$108="x",1)+$M$94-IF($M$109="x",1)+K457</f>
        <v>0</v>
      </c>
      <c r="E458" s="49" t="str">
        <f>_xlfn.IFS($C$7="Minimaalinen","2",$C$7="Taskukokoinen","2n2",$C$7="Hyvin pieni","2n3",$C$7="Pieni","2n4",$C$7="Keskikokoinen","2n6",$C$7="Iso","2n8",$C$7="Valtava","4n6",$C$7="Suunnaton","6n6",$C$7="Giganttinen","8n6")</f>
        <v>2n6</v>
      </c>
      <c r="F458" s="82">
        <f>SUM(D458*2)</f>
        <v>0</v>
      </c>
      <c r="G458" s="82" t="str">
        <f>(IF($I$89="x","50 %","")&amp;(IF($C$81="x","20 %",""))&amp;(IF($C$82="x","50 %","")))</f>
        <v/>
      </c>
      <c r="H458" s="14" t="s">
        <v>220</v>
      </c>
      <c r="I458" s="14" t="s">
        <v>221</v>
      </c>
      <c r="J458" s="14" t="s">
        <v>222</v>
      </c>
      <c r="K458" s="14" t="s">
        <v>223</v>
      </c>
      <c r="AI458" s="40"/>
      <c r="AJ458" s="40"/>
      <c r="AK458" s="40"/>
      <c r="AL458" s="40"/>
    </row>
    <row r="459" spans="1:38" x14ac:dyDescent="0.2">
      <c r="A459" s="122" t="s">
        <v>436</v>
      </c>
      <c r="B459" s="123">
        <f>IF($I$85="x","PAINISSA",IF(AND($C$90="",$C$118=""),SUM($C$3,$I$2)-$C$120+IF($C$75="x",2)+$I$16-$B$10+$M$94+IF($C$77="x",2)-IF($C$78="x",4)-IF($I$78="x",1)-IF($C$79="x",4)+IF($C$80="x",1)-IF($I$77="x",2)-IF($I$90="x",2)+IF($I$83="x",2)-IF($C$75="x",4)-$C$112+IF(H457="x",1)+I457+$M$77+IF(H459="x",1)+IF(J459="x",1)+IF($M$76="x",2)+J457+IF($M$85="x",1)+IF($M$113="x",1)+IF($M$120="x",2)+IF($M$119="x",2)+IF($M$105="x",1)+IF($M$110="x",1)+IF($M$111="x",2)+IF($M$112="x",4)+IF($M$108="x",1)-IF($M$109="x",1)-IF($M$99="x",1)+IF($M$90="x",1)-IF($C$97="x",2,8),
IF(AND($C$90="x",$C$118=""),SUM($C$3,$I$2)-$C$120+IF($C$75="x",2)+$I$16-$B$10+$M$94+IF($C$77="x",2)-IF($C$78="x",4)-IF($I$78="x",1)-IF($C$79="x",4)+IF($C$80="x",1)-IF($I$77="x",2)-IF($I$90="x",2)+IF($I$83="x",2)-IF($C$83="x",4)-$C$112+IF(H457="x",1)+I457+$M$77+IF(H459="x",1)+IF(J459="x",1)+IF($M$76="x",2)+J457+IF($M$85="x",1)+IF($M$113="x",1)+IF($M$120="x",2)+IF($M$119="x",2)+IF($M$105="x",1)+IF($M$110="x",1)+IF($M$111="x",2)+IF($M$112="x",4)+IF($M$108="x",1)-IF($M$109="x",1)-IF($M$99="x",1)+IF($M$90="x",1)-IF($C$97="x",2,8)
&amp;"/"&amp;SUM($C$3,$I$2)-$C$120+IF($C$75="x",2)+$I$16-$B$10+$M$94+IF($C$77="x",2)-IF($C$78="x",4)-IF($I$78="x",1)-IF($C$79="x",4)+IF($C$80="x",1)-IF($I$77="x",2)-IF($I$90="x",2)+IF($I$83="x",2)-IF($C$83="x",4)-$C$112+IF(H457="x",1)+I457+$M$77+IF(H459="x",1)+IF(J459="x",1)+IF($M$76="x",2)+J457+IF($M$85="x",1)+IF($M$113="x",1)+IF($M$120="x",2)+IF($M$119="x",2)+IF($M$105="x",1)+IF($M$110="x",1)+IF($M$111="x",2)+IF($M$112="x",4)+IF($M$108="x",1)-IF($M$109="x",1)-IF($M$99="x",1)+IF($M$90="x",1)-IF($C$97="x",2,8)-5,
IF(AND($C$90="x",$C$118="x"),SUM($C$3,$I$2)-$C$120+IF($C$75="x",2)+$I$16-$B$10+$M$94+IF($C$77="x",2)-IF($C$78="x",4)-IF($I$78="x",1)-IF($C$79="x",4)+IF($C$80="x",1)-IF($I$77="x",2)-IF($I$90="x",2)+IF($I$83="x",2)-IF($C$83="x",4)-$C$112+IF(H457="x",1)+I457+$M$77+IF(H459="x",1)+IF(J459="x",1)+IF($M$76="x",2)+J457+IF($M$85="x",1)+IF($M$113="x",1)+IF($M$120="x",2)+IF($M$119="x",2)+IF($M$105="x",1)+IF($M$110="x",1)+IF($M$111="x",2)+IF($M$112="x",4)+IF($M$108="x",1)-IF($M$109="x",1)+IF($M$99="x",20)-IF($M$99="x",1)+IF($M$90="x",1)-IF($C$97="x",2,8)
&amp;"/"&amp;SUM($C$3,$I$2)-$C$120+IF($C$75="x",2)+$I$16-$B$10+$M$94+IF($C$77="x",2)-IF($C$78="x",4)-IF($I$78="x",1)-IF($C$79="x",4)+IF($C$80="x",1)-IF($I$77="x",2)-IF($I$90="x",2)+IF($I$83="x",2)-IF($C$83="x",4)-$C$112-5+IF(H457="x",1)+I457+$M$77+IF(H459="x",1)+IF(J459="x",1)+IF($M$76="x",2)+J457+IF($M$85="x",1)+IF($M$113="x",1)+IF($M$120="x",2)+IF($M$119="x",2)+IF($M$105="x",1)+IF($M$110="x",1)+IF($M$111="x",2)+IF($M$112="x",4)+IF($M$108="x",1)-IF($M$109="x",1)-IF($M$99="x",1)+IF($M$90="x",1)-IF($C$97="x",4,10)
&amp;"/"&amp;SUM($C$3,$I$2)-$C$120+IF($C$75="x",2)+$I$16-$B$10+$M$94+IF($C$77="x",2)-IF($C$78="x",4)-IF($I$78="x",1)-IF($C$79="x",4)+IF($C$80="x",1)-IF($I$77="x",2)-IF($I$90="x",2)+IF($I$83="x",2)-IF($C$83="x",4)-$C$112-10+IF(H457="x",1)+I457+$M$77+IF(H459="x",1)+IF(J459="x",1)+IF($M$76="x",2)+J457+IF($M$85="x",1)+IF($M$113="x",1)+IF($M$120="x",2)+IF($M$119="x",2)+IF($M$105="x",1)+IF($M$110="x",1)+IF($M$111="x",2)+IF($M$112="x",4)+IF($M$108="x",1)-IF($M$109="x",1)-IF($M$99="x",1)+IF($M$90="x",1)-IF($C$97="x",2,8)))))</f>
        <v>-8</v>
      </c>
      <c r="C459" s="54" t="str">
        <f>_xlfn.IFS($C$7="Minimaalinen","1",$C$7="Taskukokoinen","1n2",$C$7="Hyvin pieni","1n3",$C$7="Pieni","1n4",$C$7="Keskikokoinen","1n6",$C$7="Iso","1n8",$C$7="Valtava","2n6",$C$7="Suunnaton","3n6",$C$7="Giganttinen","4n6")</f>
        <v>1n6</v>
      </c>
      <c r="D459" s="123">
        <f>INT($I$2/2)+($C$120)+I457+$M$77+IF(I459="x",2)+IF(K459="x",2)+IF($M$119="x",2)+IF($M$108="x",1)+$M$94-IF($M$109="x",1)+K457</f>
        <v>0</v>
      </c>
      <c r="E459" s="54" t="str">
        <f>_xlfn.IFS($C$7="Minimaalinen","2",$C$7="Taskukokoinen","2n2",$C$7="Hyvin pieni","2n3",$C$7="Pieni","2n4",$C$7="Keskikokoinen","2n6",$C$7="Iso","2n8",$C$7="Valtava","4n6",$C$7="Suunnaton","6n6",$C$7="Giganttinen","8n6")</f>
        <v>2n6</v>
      </c>
      <c r="F459" s="124">
        <f>SUM(D459*2)</f>
        <v>0</v>
      </c>
      <c r="G459" s="123" t="str">
        <f>(IF($I$89="x","50 %","")&amp;(IF($C$81="x","20 %",""))&amp;(IF($C$82="x","50 %","")))</f>
        <v/>
      </c>
      <c r="H459" s="28"/>
      <c r="I459" s="28"/>
      <c r="J459" s="28"/>
      <c r="K459" s="28"/>
    </row>
    <row r="460" spans="1:38" x14ac:dyDescent="0.2">
      <c r="A460" s="45"/>
      <c r="B460" s="45"/>
      <c r="C460" s="45"/>
      <c r="D460" s="45"/>
      <c r="E460" s="45"/>
      <c r="F460" s="45"/>
      <c r="G460" s="45"/>
      <c r="H460" s="45"/>
      <c r="I460" s="45"/>
      <c r="J460" s="45"/>
      <c r="K460" s="45"/>
    </row>
    <row r="461" spans="1:38" x14ac:dyDescent="0.2">
      <c r="A461" s="45"/>
      <c r="B461" s="45"/>
      <c r="C461" s="45"/>
      <c r="D461" s="45"/>
      <c r="E461" s="45"/>
      <c r="F461" s="45"/>
      <c r="G461" s="45"/>
      <c r="H461" s="45"/>
      <c r="I461" s="45"/>
      <c r="J461" s="45"/>
      <c r="K461" s="45"/>
      <c r="AB461" s="115"/>
      <c r="AC461" s="116"/>
      <c r="AD461" s="116"/>
      <c r="AE461" s="116"/>
      <c r="AF461" s="116"/>
      <c r="AG461" s="116"/>
      <c r="AH461" s="116"/>
      <c r="AI461" s="116"/>
      <c r="AJ461" s="116"/>
      <c r="AK461" s="116"/>
      <c r="AL461" s="116"/>
    </row>
    <row r="462" spans="1:38" x14ac:dyDescent="0.2">
      <c r="A462" s="34" t="s">
        <v>287</v>
      </c>
      <c r="B462" s="11" t="s">
        <v>1</v>
      </c>
      <c r="C462" s="11" t="s">
        <v>2</v>
      </c>
      <c r="D462" s="11" t="s">
        <v>3</v>
      </c>
      <c r="E462" s="11" t="s">
        <v>229</v>
      </c>
      <c r="F462" s="11" t="s">
        <v>3</v>
      </c>
      <c r="G462" s="11" t="s">
        <v>45</v>
      </c>
      <c r="H462" s="14" t="s">
        <v>179</v>
      </c>
      <c r="I462" s="130" t="s">
        <v>242</v>
      </c>
      <c r="J462" s="130" t="s">
        <v>224</v>
      </c>
      <c r="K462" s="130" t="s">
        <v>225</v>
      </c>
      <c r="AB462" s="47"/>
      <c r="AC462" s="113"/>
      <c r="AD462" s="114"/>
      <c r="AE462" s="113"/>
      <c r="AF462" s="114"/>
      <c r="AG462" s="114"/>
      <c r="AH462" s="114"/>
      <c r="AI462" s="40"/>
      <c r="AJ462" s="40"/>
      <c r="AK462" s="40"/>
      <c r="AL462" s="40"/>
    </row>
    <row r="463" spans="1:38" x14ac:dyDescent="0.2">
      <c r="A463" s="15" t="s">
        <v>219</v>
      </c>
      <c r="B463" s="18">
        <f>_xlfn.IFS($C$3&lt;6,$C$3+IF($C$87="x",$I$3,$I$2)-$C$120+IF($C$75="x",2)+$I$16-$B$10+$M$94+IF($C$77="x",2)-IF($C$78="x",4)-IF($I$78="x",1)-IF($C$79="x",4)+IF($C$80="x",1)-IF($I$77="x",2)-IF($I$90="x",2)+IF($I$83="x",2)-IF($C$75="x",4)-$C$112+IF(H463="x",1)+I463+$M$77+IF(H465="x",1)+IF(J465="x",1)+IF($M$76="x",2)+J463+IF($M$85="x",1)+IF($M$113="x",1)+IF($M$120="x",2)+IF($M$119="x",2)+IF($M$105="x",1)+IF($M$110="x",1)+IF($M$111="x",2)+IF($M$112="x",4)+IF($M$108="x",1)-IF($M$109="x",1)-IF($M$99="x",1)+IF($M$90="x",1)-IF($I$85="x",4),
$C$3&lt;11,$C$3+IF($C$87="x",$I$3,$I$2)-$C$120+IF($C$75="x",2)+$I$16-$B$10+$M$94+IF($C$77="x",2)-IF($C$78="x",4)-IF($I$78="x",1)-IF($C$79="x",4)+IF($C$80="x",1)-IF($I$77="x",2)-IF($I$90="x",2)+IF($I$83="x",2)-IF($C$83="x",4)-$C$112+IF(H463="x",1)+I463+$M$77+IF(H465="x",1)+IF(J465="x",1)+IF($M$76="x",2)+J463+IF($M$85="x",1)+IF($M$113="x",1)+IF($M$120="x",2)+IF($M$119="x",2)+IF($M$105="x",1)+IF($M$110="x",1)+IF($M$111="x",2)+IF($M$112="x",4)+IF($M$108="x",1)-IF($M$109="x",1)-IF($M$99="x",1)+IF($M$90="x",1)-IF($I$85="x",4)
&amp;"/"&amp;$C$3+IF($C$87="x",$I$3,$I$2)-$C$120+IF($C$75="x",2)+$I$16-$B$10+$M$94+IF($C$77="x",2)-IF($C$78="x",4)-IF($I$78="x",1)-IF($C$79="x",4)+IF($C$80="x",1)-IF($I$77="x",2)-IF($I$90="x",2)+IF($I$83="x",2)-IF($C$83="x",4)-$C$112-5+IF(H463="x",1)+I463+$M$77+IF(H465="x",1)+IF(J465="x",1)+IF($M$76="x",2)+J463+IF($M$85="x",1)+IF($M$113="x",1)+IF($M$120="x",2)+IF($M$119="x",2)+IF($M$105="x",1)+IF($M$110="x",1)+IF($M$111="x",2)+IF($M$112="x",4)+IF($M$108="x",1)-IF($M$109="x",1)-IF($M$99="x",1)+IF($M$90="x",1)-IF($I$85="x",4),
$C$3&lt;16,$C$3+IF($C$87="x",$I$3,$I$2)-$C$120+IF($C$75="x",2)+$I$16-$B$10+$M$94+IF($C$77="x",2)-IF($C$78="x",4)-IF($I$78="x",1)-IF($C$79="x",4)+IF($C$80="x",1)-IF($I$77="x",2)-IF($I$90="x",2)+IF($I$83="x",2)-IF($C$83="x",4)-$C$112+IF(H463="x",1)+I463+$M$77+IF(H465="x",1)+IF(J465="x",1)+IF($M$76="x",2)+J463+IF($M$85="x",1)+IF($M$113="x",1)+IF($M$120="x",2)+IF($M$119="x",2)+IF($M$105="x",1)+IF($M$110="x",1)+IF($M$111="x",2)+IF($M$112="x",4)+IF($M$108="x",1)-IF($M$109="x",1)+IF($M$99="x",20)-IF($M$99="x",1)+IF($M$90="x",1)-IF($I$85="x",4)
&amp;"/"&amp;$C$3+IF($C$87="x",$I$3,$I$2)-$C$120+IF($C$75="x",2)+$I$16-$B$10+$M$94+IF($C$77="x",2)-IF($C$78="x",4)-IF($I$78="x",1)-IF($C$79="x",4)+IF($C$80="x",1)-IF($I$77="x",2)-IF($I$90="x",2)+IF($I$83="x",2)-IF($C$83="x",4)-$C$112-5+IF(H463="x",1)+I463+$M$77+IF(H465="x",1)+IF(J465="x",1)+IF($M$76="x",2)+J463+IF($M$85="x",1)+IF($M$113="x",1)+IF($M$120="x",2)+IF($M$119="x",2)+IF($M$105="x",1)+IF($M$110="x",1)+IF($M$111="x",2)+IF($M$112="x",4)+IF($M$108="x",1)-IF($M$109="x",1)-IF($M$99="x",1)+IF($M$90="x",1)-IF($I$85="x",4)
&amp;"/"&amp;$C$3+IF($C$87="x",$I$3,$I$2)-$C$120+IF($C$75="x",2)+$I$16-$B$10+$M$94+IF($C$77="x",2)-IF($C$78="x",4)-IF($I$78="x",1)-IF($C$79="x",4)+IF($C$80="x",1)-IF($I$77="x",2)-IF($I$90="x",2)+IF($I$83="x",2)-IF($C$83="x",4)-$C$112-10+IF(H463="x",1)+I463+$M$77+IF(H465="x",1)+IF(J465="x",1)+IF($M$76="x",2)+J463+IF($M$85="x",1)+IF($M$113="x",1)+IF($M$120="x",2)+IF($M$119="x",2)+IF($M$105="x",1)+IF($M$110="x",1)+IF($M$111="x",2)+IF($M$112="x",4)+IF($M$108="x",1)-IF($M$109="x",1)-IF($M$99="x",1)+IF($M$90="x",1)-IF($I$85="x",4),
$C$3&gt;15,$C$3+IF($C$87="x",$I$3,$I$2)-$C$120+IF($C$75="x",2)+$I$16-$B$10+$M$94+IF($C$77="x",2)-IF($C$78="x",4)-IF($I$78="x",1)-IF($C$79="x",4)+IF($C$80="x",1)-IF($I$77="x",2)-IF($I$90="x",2)+IF($I$83="x",2)-IF($C$83="x",4)-$C$112+IF(H463="x",1)+I463+$M$77+IF(H465="x",1)+IF(J465="x",1)+IF($M$76="x",2)+J463+IF($M$85="x",1)+IF($M$113="x",1)+IF($M$120="x",2)+IF($M$119="x",2)+IF($M$105="x",1)+IF($M$110="x",1)+IF($M$111="x",2)+IF($M$112="x",4)+IF($M$108="x",1)-IF($M$109="x",1)-IF($M$99="x",1)+IF($M$90="x",1)-IF($I$85="x",4)
&amp;"/"&amp;$C$3+IF($C$87="x",$I$3,$I$2)-$C$120+IF($C$75="x",2)+$I$16-$B$10+$M$94+IF($C$77="x",2)-IF($C$78="x",4)-IF($I$78="x",1)-IF($C$79="x",4)+IF($C$80="x",1)-IF($I$77="x",2)-IF($I$90="x",2)+IF($I$83="x",2)-IF($C$83="x",4)-$C$112-5+IF(H463="x",1)+I463+$M$77+IF(H465="x",1)+IF(J465="x",1)+IF($M$76="x",2)+J463+IF($M$85="x",1)+IF($M$113="x",1)+IF($M$120="x",2)+IF($M$119="x",2)+IF($M$105="x",1)+IF($M$110="x",1)+IF($M$111="x",2)+IF($M$112="x",4)+IF($M$108="x",1)-IF($M$109="x",1)-IF($M$99="x",1)+IF($M$90="x",1)-IF($I$85="x",4)
&amp;"/"&amp;$C$3+IF($C$87="x",$I$3,$I$2)-$C$120+IF($C$75="x",2)+$I$16-$B$10+$M$94+IF($C$77="x",2)-IF($C$78="x",4)-IF($I$78="x",1)-IF($C$79="x",4)+IF($C$80="x",1)-IF($I$77="x",2)-IF($I$90="x",2)+IF($I$83="x",2)-IF($C$83="x",4)-$C$112-10+IF(H463="x",1)+I463+$M$77+IF(H465="x",1)+IF(J465="x",1)+IF($M$76="x",2)+J463+IF($M$85="x",1)+IF($M$113="x",1)+IF($M$120="x",2)+IF($M$119="x",2)+IF($M$105="x",1)+IF($M$110="x",1)+IF($M$111="x",2)+IF($M$112="x",4)+IF($M$108="x",1)-IF($M$109="x",1)-IF($M$99="x",1)+IF($M$90="x",1)-IF($I$85="x",4)
&amp;"/"&amp;$C$3+IF($C$87="x",$I$3,$I$2)-$C$120+IF($C$75="x",2)+$I$16-$B$10+$M$94+IF($C$77="x",2)-IF($C$78="x",4)-IF($I$78="x",1)-IF($C$79="x",4)+IF($C$80="x",1)-IF($I$77="x",2)-IF($I$90="x",2)+IF($I$83="x",2)-IF($C$83="x",4)-$C$112-15+IF(H463="x",1)+I463+$M$77+IF(H465="x",1)+IF(J465="x",1)+IF($M$76="x",2)+J463+IF($M$85="x",1)+IF($M$113="x",1)+IF($M$120="x",2)+IF($M$119="x",2)+IF($M$105="x",1)+IF($M$110="x",1)+IF($M$111="x",2)+IF($M$112="x",4)+IF($M$108="x",1)-IF($M$109="x",1)-IF($M$99="x",1)+IF($M$90="x",1)-IF($I$85="x",4))</f>
        <v>0</v>
      </c>
      <c r="C463" s="49" t="str">
        <f>_xlfn.IFS($C$7="Minimaalinen","–",$C$7="Taskukokoinen","1",$C$7="Hyvin pieni","1n2",$C$7="Pieni","1n3",$C$7="Keskikokoinen","1n4",$C$7="Iso","1n6",$C$7="Valtava","1n8",$C$7="Suunnaton","2n6",$C$7="Giganttinen","3n6")</f>
        <v>1n4</v>
      </c>
      <c r="D463" s="18">
        <f>SUM($I$2+$C$120)+I463+$M$77+IF(I465="x",2)+IF(K465="x",2)+IF($M$119="x",2)+IF($M$108="x",1)+$M$94-IF($M$109="x",1)+K463</f>
        <v>0</v>
      </c>
      <c r="E463" s="49" t="str">
        <f>_xlfn.IFS($C$7="Minimaalinen","–",$C$7="Taskukokoinen","2",$C$7="Hyvin pieni","2n2",$C$7="Pieni","2n3",$C$7="Keskikokoinen","2n4",$C$7="Iso","2n6",$C$7="Valtava","2n8",$C$7="Suunnaton","4n6",$C$7="Giganttinen","6n6")</f>
        <v>2n4</v>
      </c>
      <c r="F463" s="12">
        <f>SUM(D463*2)</f>
        <v>0</v>
      </c>
      <c r="G463" s="12" t="str">
        <f>(IF($I$89="x","50 %","")&amp;(IF($C$81="x","20 %",""))&amp;(IF($C$82="x","50 %",""&amp;IF($M$91="x","50 % (5 j 20 %)",""&amp;IF($M$115="x","50 % (5 j 20 %)","")))))</f>
        <v/>
      </c>
      <c r="H463" s="28"/>
      <c r="I463" s="17">
        <v>0</v>
      </c>
      <c r="J463" s="17">
        <v>0</v>
      </c>
      <c r="K463" s="17">
        <v>0</v>
      </c>
      <c r="AI463" s="48"/>
      <c r="AJ463" s="48"/>
      <c r="AK463" s="48"/>
      <c r="AL463" s="48"/>
    </row>
    <row r="464" spans="1:38" x14ac:dyDescent="0.2">
      <c r="A464" s="25" t="s">
        <v>435</v>
      </c>
      <c r="B464" s="121">
        <f>_xlfn.IFS($C$3&lt;6,$C$3+IF($C$87="x",$I$3,$I$2)-$C$120+IF($C$75="x",2)+$I$16-$B$10+$M$94+IF($C$77="x",2)-IF($C$78="x",4)-IF($I$78="x",1)-IF($C$79="x",4)+IF($C$80="x",1)-IF($I$77="x",2)-IF($I$90="x",2)+IF($I$83="x",2)-IF($C$75="x",4)-$C$112+IF(H463="x",1)+I463+$M$77+IF(H465="x",1)+IF(J465="x",1)+IF($M$76="x",2)+J463+IF($M$85="x",1)+IF($M$113="x",1)+IF($M$120="x",2)+IF($M$119="x",2)+IF($M$105="x",1)+IF($M$110="x",1)+IF($M$111="x",2)+IF($M$112="x",4)+IF($M$108="x",1)-IF($M$109="x",1)-IF($M$99="x",1)+IF($M$90="x",1)-IF($I$85="x",4)-IF($C$97="x",2,4),
$C$3&lt;11,$C$3+IF($C$87="x",$I$3,$I$2)-$C$120+IF($C$75="x",2)+$I$16-$B$10+$M$94+IF($C$77="x",2)-IF($C$78="x",4)-IF($I$78="x",1)-IF($C$79="x",4)+IF($C$80="x",1)-IF($I$77="x",2)-IF($I$90="x",2)+IF($I$83="x",2)-IF($C$83="x",4)-$C$112+IF(H463="x",1)+I463+$M$77+IF(H465="x",1)+IF(J465="x",1)+IF($M$76="x",2)+J463+IF($M$85="x",1)+IF($M$113="x",1)+IF($M$120="x",2)+IF($M$119="x",2)+IF($M$105="x",1)+IF($M$110="x",1)+IF($M$111="x",2)+IF($M$112="x",4)+IF($M$108="x",1)-IF($M$109="x",1)-IF($M$99="x",1)+IF($M$90="x",1)-IF($I$85="x",4)-IF($C$97="x",2,4)
&amp;"/"&amp;$C$3+IF($C$87="x",$I$3,$I$2)-$C$120+IF($C$75="x",2)+$I$16-$B$10+$M$94+IF($C$77="x",2)-IF($C$78="x",4)-IF($I$78="x",1)-IF($C$79="x",4)+IF($C$80="x",1)-IF($I$77="x",2)-IF($I$90="x",2)+IF($I$83="x",2)-IF($C$83="x",4)-$C$112-5+IF(H463="x",1)+I463+$M$77+IF(H465="x",1)+IF(J465="x",1)+IF($M$76="x",2)+J463+IF($M$85="x",1)+IF($M$113="x",1)+IF($M$120="x",2)+IF($M$119="x",2)+IF($M$105="x",1)+IF($M$110="x",1)+IF($M$111="x",2)+IF($M$112="x",4)+IF($M$108="x",1)-IF($M$109="x",1)-IF($M$99="x",1)+IF($M$90="x",1)-IF($I$85="x",4)-IF($C$97="x",2,4),
$C$3&lt;16,$C$3+IF($C$87="x",$I$3,$I$2)-$C$120+IF($C$75="x",2)+$I$16-$B$10+$M$94+IF($C$77="x",2)-IF($C$78="x",4)-IF($I$78="x",1)-IF($C$79="x",4)+IF($C$80="x",1)-IF($I$77="x",2)-IF($I$90="x",2)+IF($I$83="x",2)-IF($C$83="x",4)-$C$112+IF(H463="x",1)+I463+$M$77+IF(H465="x",1)+IF(J465="x",1)+IF($M$76="x",2)+J463+IF($M$85="x",1)+IF($M$113="x",1)+IF($M$120="x",2)+IF($M$119="x",2)+IF($M$105="x",1)+IF($M$110="x",1)+IF($M$111="x",2)+IF($M$112="x",4)+IF($M$108="x",1)-IF($M$109="x",1)+IF($M$99="x",20)-IF($M$99="x",1)+IF($M$90="x",1)-IF($I$85="x",4)-IF($C$97="x",2,4)
&amp;"/"&amp;$C$3+IF($C$87="x",$I$3,$I$2)-$C$120+IF($C$75="x",2)+$I$16-$B$10+$M$94+IF($C$77="x",2)-IF($C$78="x",4)-IF($I$78="x",1)-IF($C$79="x",4)+IF($C$80="x",1)-IF($I$77="x",2)-IF($I$90="x",2)+IF($I$83="x",2)-IF($C$83="x",4)-$C$112-5+IF(H463="x",1)+I463+$M$77+IF(H465="x",1)+IF(J465="x",1)+IF($M$76="x",2)+J463+IF($M$85="x",1)+IF($M$113="x",1)+IF($M$120="x",2)+IF($M$119="x",2)+IF($M$105="x",1)+IF($M$110="x",1)+IF($M$111="x",2)+IF($M$112="x",4)+IF($M$108="x",1)-IF($M$109="x",1)-IF($M$99="x",1)+IF($M$90="x",1)-IF($I$85="x",4)-IF($C$97="x",2,4)
&amp;"/"&amp;$C$3+IF($C$87="x",$I$3,$I$2)-$C$120+IF($C$75="x",2)+$I$16-$B$10+$M$94+IF($C$77="x",2)-IF($C$78="x",4)-IF($I$78="x",1)-IF($C$79="x",4)+IF($C$80="x",1)-IF($I$77="x",2)-IF($I$90="x",2)+IF($I$83="x",2)-IF($C$83="x",4)-$C$112-10+IF(H463="x",1)+I463+$M$77+IF(H465="x",1)+IF(J465="x",1)+IF($M$76="x",2)+J463+IF($M$85="x",1)+IF($M$113="x",1)+IF($M$120="x",2)+IF($M$119="x",2)+IF($M$105="x",1)+IF($M$110="x",1)+IF($M$111="x",2)+IF($M$112="x",4)+IF($M$108="x",1)-IF($M$109="x",1)-IF($M$99="x",1)+IF($M$90="x",1)-IF($I$85="x",4)-IF($C$97="x",2,4),
$C$3&gt;15,$C$3+IF($C$87="x",$I$3,$I$2)-$C$120+IF($C$75="x",2)+$I$16-$B$10+$M$94+IF($C$77="x",2)-IF($C$78="x",4)-IF($I$78="x",1)-IF($C$79="x",4)+IF($C$80="x",1)-IF($I$77="x",2)-IF($I$90="x",2)+IF($I$83="x",2)-IF($C$83="x",4)-$C$112+IF(H463="x",1)+I463+$M$77+IF(H465="x",1)+IF(J465="x",1)+IF($M$76="x",2)+J463+IF($M$85="x",1)+IF($M$113="x",1)+IF($M$120="x",2)+IF($M$119="x",2)+IF($M$105="x",1)+IF($M$110="x",1)+IF($M$111="x",2)+IF($M$112="x",4)+IF($M$108="x",1)-IF($M$109="x",1)-IF($M$99="x",1)+IF($M$90="x",1)-IF($I$85="x",4)-IF($C$97="x",2,4)
&amp;"/"&amp;$C$3+IF($C$87="x",$I$3,$I$2)-$C$120+IF($C$75="x",2)+$I$16-$B$10+$M$94+IF($C$77="x",2)-IF($C$78="x",4)-IF($I$78="x",1)-IF($C$79="x",4)+IF($C$80="x",1)-IF($I$77="x",2)-IF($I$90="x",2)+IF($I$83="x",2)-IF($C$83="x",4)-$C$112-5+IF(H463="x",1)+I463+$M$77+IF(H465="x",1)+IF(J465="x",1)+IF($M$76="x",2)+J463+IF($M$85="x",1)+IF($M$113="x",1)+IF($M$120="x",2)+IF($M$119="x",2)+IF($M$105="x",1)+IF($M$110="x",1)+IF($M$111="x",2)+IF($M$112="x",4)+IF($M$108="x",1)-IF($M$109="x",1)-IF($M$99="x",1)+IF($M$90="x",1)-IF($I$85="x",4)-IF($C$97="x",2,4)
&amp;"/"&amp;$C$3+IF($C$87="x",$I$3,$I$2)-$C$120+IF($C$75="x",2)+$I$16-$B$10+$M$94+IF($C$77="x",2)-IF($C$78="x",4)-IF($I$78="x",1)-IF($C$79="x",4)+IF($C$80="x",1)-IF($I$77="x",2)-IF($I$90="x",2)+IF($I$83="x",2)-IF($C$83="x",4)-$C$112-10+IF(H463="x",1)+I463+$M$77+IF(H465="x",1)+IF(J465="x",1)+IF($M$76="x",2)+J463+IF($M$85="x",1)+IF($M$113="x",1)+IF($M$120="x",2)+IF($M$119="x",2)+IF($M$105="x",1)+IF($M$110="x",1)+IF($M$111="x",2)+IF($M$112="x",4)+IF($M$108="x",1)-IF($M$109="x",1)-IF($M$99="x",1)+IF($M$90="x",1)-IF($I$85="x",4)-IF($C$97="x",2,4)
&amp;"/"&amp;$C$3+IF($C$87="x",$I$3,$I$2)-$C$120+IF($C$75="x",2)+$I$16-$B$10+$M$94+IF($C$77="x",2)-IF($C$78="x",4)-IF($I$78="x",1)-IF($C$79="x",4)+IF($C$80="x",1)-IF($I$77="x",2)-IF($I$90="x",2)+IF($I$83="x",2)-IF($C$83="x",4)-$C$112-15+IF(H463="x",1)+I463+$M$77+IF(H465="x",1)+IF(J465="x",1)+IF($M$76="x",2)+J463+IF($M$85="x",1)+IF($M$113="x",1)+IF($M$120="x",2)+IF($M$119="x",2)+IF($M$105="x",1)+IF($M$110="x",1)+IF($M$111="x",2)+IF($M$112="x",4)+IF($M$108="x",1)-IF($M$109="x",1)-IF($M$99="x",1)+IF($M$90="x",1)-IF($I$85="x",4)-IF($C$97="x",2,4))</f>
        <v>-4</v>
      </c>
      <c r="C464" s="49" t="str">
        <f>_xlfn.IFS($C$7="Minimaalinen","–",$C$7="Taskukokoinen","1",$C$7="Hyvin pieni","1n2",$C$7="Pieni","1n3",$C$7="Keskikokoinen","1n4",$C$7="Iso","1n6",$C$7="Valtava","1n8",$C$7="Suunnaton","2n6",$C$7="Giganttinen","3n6")</f>
        <v>1n4</v>
      </c>
      <c r="D464" s="121">
        <f>SUM($I$2+$C$120)+I463+$M$77+IF(I465="x",2)+IF(K465="x",2)+IF($M$119="x",2)+IF($M$108="x",1)+$M$94-IF($M$109="x",1)+K463</f>
        <v>0</v>
      </c>
      <c r="E464" s="49" t="str">
        <f>_xlfn.IFS($C$7="Minimaalinen","–",$C$7="Taskukokoinen","2",$C$7="Hyvin pieni","2n2",$C$7="Pieni","2n3",$C$7="Keskikokoinen","2n4",$C$7="Iso","2n6",$C$7="Valtava","2n8",$C$7="Suunnaton","4n6",$C$7="Giganttinen","6n6")</f>
        <v>2n4</v>
      </c>
      <c r="F464" s="82">
        <f>SUM(D464*2)</f>
        <v>0</v>
      </c>
      <c r="G464" s="82" t="str">
        <f>(IF($I$89="x","50 %","")&amp;(IF($C$81="x","20 %",""))&amp;(IF($C$82="x","50 %","")))</f>
        <v/>
      </c>
      <c r="H464" s="14" t="s">
        <v>220</v>
      </c>
      <c r="I464" s="14" t="s">
        <v>221</v>
      </c>
      <c r="J464" s="14" t="s">
        <v>222</v>
      </c>
      <c r="K464" s="14" t="s">
        <v>223</v>
      </c>
      <c r="AI464" s="40"/>
      <c r="AJ464" s="40"/>
      <c r="AK464" s="40"/>
      <c r="AL464" s="40"/>
    </row>
    <row r="465" spans="1:38" x14ac:dyDescent="0.2">
      <c r="A465" s="122" t="s">
        <v>436</v>
      </c>
      <c r="B465" s="123">
        <f>IF($I$85="x","PAINISSA",IF(AND($C$90="",$C$118=""),SUM($C$3,$I$2)-$C$120+IF($C$75="x",2)+$I$16-$B$10+$M$94+IF($C$77="x",2)-IF($C$78="x",4)-IF($I$78="x",1)-IF($C$79="x",4)+IF($C$80="x",1)-IF($I$77="x",2)-IF($I$90="x",2)+IF($I$83="x",2)-IF($C$75="x",4)-$C$112+IF(H463="x",1)+I463+$M$77+IF(H465="x",1)+IF(J465="x",1)+IF($M$76="x",2)+J463+IF($M$85="x",1)+IF($M$113="x",1)+IF($M$120="x",2)+IF($M$119="x",2)+IF($M$105="x",1)+IF($M$110="x",1)+IF($M$111="x",2)+IF($M$112="x",4)+IF($M$108="x",1)-IF($M$109="x",1)-IF($M$99="x",1)+IF($M$90="x",1)-IF($C$97="x",2,8),
IF(AND($C$90="x",$C$118=""),SUM($C$3,$I$2)-$C$120+IF($C$75="x",2)+$I$16-$B$10+$M$94+IF($C$77="x",2)-IF($C$78="x",4)-IF($I$78="x",1)-IF($C$79="x",4)+IF($C$80="x",1)-IF($I$77="x",2)-IF($I$90="x",2)+IF($I$83="x",2)-IF($C$83="x",4)-$C$112+IF(H463="x",1)+I463+$M$77+IF(H465="x",1)+IF(J465="x",1)+IF($M$76="x",2)+J463+IF($M$85="x",1)+IF($M$113="x",1)+IF($M$120="x",2)+IF($M$119="x",2)+IF($M$105="x",1)+IF($M$110="x",1)+IF($M$111="x",2)+IF($M$112="x",4)+IF($M$108="x",1)-IF($M$109="x",1)-IF($M$99="x",1)+IF($M$90="x",1)-IF($C$97="x",2,8)
&amp;"/"&amp;SUM($C$3,$I$2)-$C$120+IF($C$75="x",2)+$I$16-$B$10+$M$94+IF($C$77="x",2)-IF($C$78="x",4)-IF($I$78="x",1)-IF($C$79="x",4)+IF($C$80="x",1)-IF($I$77="x",2)-IF($I$90="x",2)+IF($I$83="x",2)-IF($C$83="x",4)-$C$112+IF(H463="x",1)+I463+$M$77+IF(H465="x",1)+IF(J465="x",1)+IF($M$76="x",2)+J463+IF($M$85="x",1)+IF($M$113="x",1)+IF($M$120="x",2)+IF($M$119="x",2)+IF($M$105="x",1)+IF($M$110="x",1)+IF($M$111="x",2)+IF($M$112="x",4)+IF($M$108="x",1)-IF($M$109="x",1)-IF($M$99="x",1)+IF($M$90="x",1)-IF($C$97="x",2,8)-5,
IF(AND($C$90="x",$C$118="x"),SUM($C$3,$I$2)-$C$120+IF($C$75="x",2)+$I$16-$B$10+$M$94+IF($C$77="x",2)-IF($C$78="x",4)-IF($I$78="x",1)-IF($C$79="x",4)+IF($C$80="x",1)-IF($I$77="x",2)-IF($I$90="x",2)+IF($I$83="x",2)-IF($C$83="x",4)-$C$112+IF(H463="x",1)+I463+$M$77+IF(H465="x",1)+IF(J465="x",1)+IF($M$76="x",2)+J463+IF($M$85="x",1)+IF($M$113="x",1)+IF($M$120="x",2)+IF($M$119="x",2)+IF($M$105="x",1)+IF($M$110="x",1)+IF($M$111="x",2)+IF($M$112="x",4)+IF($M$108="x",1)-IF($M$109="x",1)+IF($M$99="x",20)-IF($M$99="x",1)+IF($M$90="x",1)-IF($C$97="x",2,8)
&amp;"/"&amp;SUM($C$3,$I$2)-$C$120+IF($C$75="x",2)+$I$16-$B$10+$M$94+IF($C$77="x",2)-IF($C$78="x",4)-IF($I$78="x",1)-IF($C$79="x",4)+IF($C$80="x",1)-IF($I$77="x",2)-IF($I$90="x",2)+IF($I$83="x",2)-IF($C$83="x",4)-$C$112-5+IF(H463="x",1)+I463+$M$77+IF(H465="x",1)+IF(J465="x",1)+IF($M$76="x",2)+J463+IF($M$85="x",1)+IF($M$113="x",1)+IF($M$120="x",2)+IF($M$119="x",2)+IF($M$105="x",1)+IF($M$110="x",1)+IF($M$111="x",2)+IF($M$112="x",4)+IF($M$108="x",1)-IF($M$109="x",1)-IF($M$99="x",1)+IF($M$90="x",1)-IF($C$97="x",4,10)
&amp;"/"&amp;SUM($C$3,$I$2)-$C$120+IF($C$75="x",2)+$I$16-$B$10+$M$94+IF($C$77="x",2)-IF($C$78="x",4)-IF($I$78="x",1)-IF($C$79="x",4)+IF($C$80="x",1)-IF($I$77="x",2)-IF($I$90="x",2)+IF($I$83="x",2)-IF($C$83="x",4)-$C$112-10+IF(H463="x",1)+I463+$M$77+IF(H465="x",1)+IF(J465="x",1)+IF($M$76="x",2)+J463+IF($M$85="x",1)+IF($M$113="x",1)+IF($M$120="x",2)+IF($M$119="x",2)+IF($M$105="x",1)+IF($M$110="x",1)+IF($M$111="x",2)+IF($M$112="x",4)+IF($M$108="x",1)-IF($M$109="x",1)-IF($M$99="x",1)+IF($M$90="x",1)-IF($C$97="x",2,8)))))</f>
        <v>-8</v>
      </c>
      <c r="C465" s="54" t="str">
        <f>_xlfn.IFS($C$7="Minimaalinen","–",$C$7="Taskukokoinen","1",$C$7="Hyvin pieni","1n2",$C$7="Pieni","1n3",$C$7="Keskikokoinen","1n4",$C$7="Iso","1n6",$C$7="Valtava","1n8",$C$7="Suunnaton","2n6",$C$7="Giganttinen","3n6")</f>
        <v>1n4</v>
      </c>
      <c r="D465" s="123">
        <f>INT($I$2/2)+($C$120)+I463+$M$77+IF(I465="x",2)+IF(K465="x",2)+IF($M$119="x",2)+IF($M$108="x",1)+$M$94-IF($M$109="x",1)+K463</f>
        <v>0</v>
      </c>
      <c r="E465" s="54" t="str">
        <f>_xlfn.IFS($C$7="Minimaalinen","–",$C$7="Taskukokoinen","2",$C$7="Hyvin pieni","2n2",$C$7="Pieni","2n3",$C$7="Keskikokoinen","2n4",$C$7="Iso","2n6",$C$7="Valtava","2n8",$C$7="Suunnaton","4n6",$C$7="Giganttinen","6n6")</f>
        <v>2n4</v>
      </c>
      <c r="F465" s="124">
        <f>SUM(D465*2)</f>
        <v>0</v>
      </c>
      <c r="G465" s="123" t="str">
        <f>(IF($I$89="x","50 %","")&amp;(IF($C$81="x","20 %",""))&amp;(IF($C$82="x","50 %","")))</f>
        <v/>
      </c>
      <c r="H465" s="28"/>
      <c r="I465" s="28"/>
      <c r="J465" s="28"/>
      <c r="K465" s="28"/>
    </row>
    <row r="466" spans="1:38" x14ac:dyDescent="0.2">
      <c r="B466" s="15"/>
      <c r="C466" s="15"/>
      <c r="D466" s="15"/>
      <c r="F466" s="15"/>
      <c r="G466" s="15"/>
      <c r="H466" s="15"/>
      <c r="I466" s="15"/>
    </row>
    <row r="467" spans="1:38" x14ac:dyDescent="0.2">
      <c r="B467" s="15"/>
      <c r="C467" s="15"/>
      <c r="D467" s="15"/>
      <c r="F467" s="15"/>
      <c r="G467" s="15"/>
      <c r="H467" s="15"/>
      <c r="I467" s="15"/>
      <c r="AB467" s="115"/>
      <c r="AC467" s="116"/>
      <c r="AD467" s="116"/>
      <c r="AE467" s="116"/>
      <c r="AF467" s="116"/>
      <c r="AG467" s="116"/>
      <c r="AH467" s="116"/>
      <c r="AI467" s="116"/>
      <c r="AJ467" s="116"/>
      <c r="AK467" s="116"/>
      <c r="AL467" s="116"/>
    </row>
    <row r="468" spans="1:38" x14ac:dyDescent="0.2">
      <c r="A468" s="10" t="s">
        <v>288</v>
      </c>
      <c r="B468" s="11" t="s">
        <v>1</v>
      </c>
      <c r="C468" s="11" t="s">
        <v>2</v>
      </c>
      <c r="D468" s="11" t="s">
        <v>3</v>
      </c>
      <c r="E468" s="11" t="s">
        <v>229</v>
      </c>
      <c r="F468" s="11" t="s">
        <v>3</v>
      </c>
      <c r="G468" s="11" t="s">
        <v>45</v>
      </c>
      <c r="H468" s="14" t="s">
        <v>179</v>
      </c>
      <c r="I468" s="130" t="s">
        <v>242</v>
      </c>
      <c r="J468" s="130" t="s">
        <v>224</v>
      </c>
      <c r="K468" s="130" t="s">
        <v>225</v>
      </c>
      <c r="AB468" s="47"/>
      <c r="AC468" s="113"/>
      <c r="AD468" s="114"/>
      <c r="AE468" s="113"/>
      <c r="AF468" s="114"/>
      <c r="AG468" s="114"/>
      <c r="AH468" s="114"/>
      <c r="AI468" s="40"/>
      <c r="AJ468" s="40"/>
      <c r="AK468" s="40"/>
      <c r="AL468" s="40"/>
    </row>
    <row r="469" spans="1:38" x14ac:dyDescent="0.2">
      <c r="A469" s="15" t="s">
        <v>219</v>
      </c>
      <c r="B469" s="18">
        <f>_xlfn.IFS($C$3&lt;6,$C$3+IF($C$87="x",$I$3,$I$2)-$C$120+IF($C$75="x",2)+$I$16-$B$10+$M$94+IF($C$77="x",2)-IF($C$78="x",4)-IF($I$78="x",1)-IF($C$79="x",4)+IF($C$80="x",1)-IF($I$77="x",2)-IF($I$90="x",2)+IF($I$83="x",2)-IF($C$75="x",4)-$C$112+IF(H469="x",1)+I469+$M$77+IF(H471="x",1)+IF(J471="x",1)+IF($M$76="x",2)+J469+IF($M$85="x",1)+IF($M$113="x",1)+IF($M$120="x",2)+IF($M$119="x",2)+IF($M$105="x",1)+IF($M$110="x",1)+IF($M$111="x",2)+IF($M$112="x",4)+IF($M$108="x",1)-IF($M$109="x",1)-IF($M$99="x",1)+IF($M$90="x",1)-IF($I$85="x",4),
$C$3&lt;11,$C$3+IF($C$87="x",$I$3,$I$2)-$C$120+IF($C$75="x",2)+$I$16-$B$10+$M$94+IF($C$77="x",2)-IF($C$78="x",4)-IF($I$78="x",1)-IF($C$79="x",4)+IF($C$80="x",1)-IF($I$77="x",2)-IF($I$90="x",2)+IF($I$83="x",2)-IF($C$83="x",4)-$C$112+IF(H469="x",1)+I469+$M$77+IF(H471="x",1)+IF(J471="x",1)+IF($M$76="x",2)+J469+IF($M$85="x",1)+IF($M$113="x",1)+IF($M$120="x",2)+IF($M$119="x",2)+IF($M$105="x",1)+IF($M$110="x",1)+IF($M$111="x",2)+IF($M$112="x",4)+IF($M$108="x",1)-IF($M$109="x",1)-IF($M$99="x",1)+IF($M$90="x",1)-IF($I$85="x",4)
&amp;"/"&amp;$C$3+IF($C$87="x",$I$3,$I$2)-$C$120+IF($C$75="x",2)+$I$16-$B$10+$M$94+IF($C$77="x",2)-IF($C$78="x",4)-IF($I$78="x",1)-IF($C$79="x",4)+IF($C$80="x",1)-IF($I$77="x",2)-IF($I$90="x",2)+IF($I$83="x",2)-IF($C$83="x",4)-$C$112-5+IF(H469="x",1)+I469+$M$77+IF(H471="x",1)+IF(J471="x",1)+IF($M$76="x",2)+J469+IF($M$85="x",1)+IF($M$113="x",1)+IF($M$120="x",2)+IF($M$119="x",2)+IF($M$105="x",1)+IF($M$110="x",1)+IF($M$111="x",2)+IF($M$112="x",4)+IF($M$108="x",1)-IF($M$109="x",1)-IF($M$99="x",1)+IF($M$90="x",1)-IF($I$85="x",4),
$C$3&lt;16,$C$3+IF($C$87="x",$I$3,$I$2)-$C$120+IF($C$75="x",2)+$I$16-$B$10+$M$94+IF($C$77="x",2)-IF($C$78="x",4)-IF($I$78="x",1)-IF($C$79="x",4)+IF($C$80="x",1)-IF($I$77="x",2)-IF($I$90="x",2)+IF($I$83="x",2)-IF($C$83="x",4)-$C$112+IF(H469="x",1)+I469+$M$77+IF(H471="x",1)+IF(J471="x",1)+IF($M$76="x",2)+J469+IF($M$85="x",1)+IF($M$113="x",1)+IF($M$120="x",2)+IF($M$119="x",2)+IF($M$105="x",1)+IF($M$110="x",1)+IF($M$111="x",2)+IF($M$112="x",4)+IF($M$108="x",1)-IF($M$109="x",1)+IF($M$99="x",20)-IF($M$99="x",1)+IF($M$90="x",1)-IF($I$85="x",4)
&amp;"/"&amp;$C$3+IF($C$87="x",$I$3,$I$2)-$C$120+IF($C$75="x",2)+$I$16-$B$10+$M$94+IF($C$77="x",2)-IF($C$78="x",4)-IF($I$78="x",1)-IF($C$79="x",4)+IF($C$80="x",1)-IF($I$77="x",2)-IF($I$90="x",2)+IF($I$83="x",2)-IF($C$83="x",4)-$C$112-5+IF(H469="x",1)+I469+$M$77+IF(H471="x",1)+IF(J471="x",1)+IF($M$76="x",2)+J469+IF($M$85="x",1)+IF($M$113="x",1)+IF($M$120="x",2)+IF($M$119="x",2)+IF($M$105="x",1)+IF($M$110="x",1)+IF($M$111="x",2)+IF($M$112="x",4)+IF($M$108="x",1)-IF($M$109="x",1)-IF($M$99="x",1)+IF($M$90="x",1)-IF($I$85="x",4)
&amp;"/"&amp;$C$3+IF($C$87="x",$I$3,$I$2)-$C$120+IF($C$75="x",2)+$I$16-$B$10+$M$94+IF($C$77="x",2)-IF($C$78="x",4)-IF($I$78="x",1)-IF($C$79="x",4)+IF($C$80="x",1)-IF($I$77="x",2)-IF($I$90="x",2)+IF($I$83="x",2)-IF($C$83="x",4)-$C$112-10+IF(H469="x",1)+I469+$M$77+IF(H471="x",1)+IF(J471="x",1)+IF($M$76="x",2)+J469+IF($M$85="x",1)+IF($M$113="x",1)+IF($M$120="x",2)+IF($M$119="x",2)+IF($M$105="x",1)+IF($M$110="x",1)+IF($M$111="x",2)+IF($M$112="x",4)+IF($M$108="x",1)-IF($M$109="x",1)-IF($M$99="x",1)+IF($M$90="x",1)-IF($I$85="x",4),
$C$3&gt;15,$C$3+IF($C$87="x",$I$3,$I$2)-$C$120+IF($C$75="x",2)+$I$16-$B$10+$M$94+IF($C$77="x",2)-IF($C$78="x",4)-IF($I$78="x",1)-IF($C$79="x",4)+IF($C$80="x",1)-IF($I$77="x",2)-IF($I$90="x",2)+IF($I$83="x",2)-IF($C$83="x",4)-$C$112+IF(H469="x",1)+I469+$M$77+IF(H471="x",1)+IF(J471="x",1)+IF($M$76="x",2)+J469+IF($M$85="x",1)+IF($M$113="x",1)+IF($M$120="x",2)+IF($M$119="x",2)+IF($M$105="x",1)+IF($M$110="x",1)+IF($M$111="x",2)+IF($M$112="x",4)+IF($M$108="x",1)-IF($M$109="x",1)-IF($M$99="x",1)+IF($M$90="x",1)-IF($I$85="x",4)
&amp;"/"&amp;$C$3+IF($C$87="x",$I$3,$I$2)-$C$120+IF($C$75="x",2)+$I$16-$B$10+$M$94+IF($C$77="x",2)-IF($C$78="x",4)-IF($I$78="x",1)-IF($C$79="x",4)+IF($C$80="x",1)-IF($I$77="x",2)-IF($I$90="x",2)+IF($I$83="x",2)-IF($C$83="x",4)-$C$112-5+IF(H469="x",1)+I469+$M$77+IF(H471="x",1)+IF(J471="x",1)+IF($M$76="x",2)+J469+IF($M$85="x",1)+IF($M$113="x",1)+IF($M$120="x",2)+IF($M$119="x",2)+IF($M$105="x",1)+IF($M$110="x",1)+IF($M$111="x",2)+IF($M$112="x",4)+IF($M$108="x",1)-IF($M$109="x",1)-IF($M$99="x",1)+IF($M$90="x",1)-IF($I$85="x",4)
&amp;"/"&amp;$C$3+IF($C$87="x",$I$3,$I$2)-$C$120+IF($C$75="x",2)+$I$16-$B$10+$M$94+IF($C$77="x",2)-IF($C$78="x",4)-IF($I$78="x",1)-IF($C$79="x",4)+IF($C$80="x",1)-IF($I$77="x",2)-IF($I$90="x",2)+IF($I$83="x",2)-IF($C$83="x",4)-$C$112-10+IF(H469="x",1)+I469+$M$77+IF(H471="x",1)+IF(J471="x",1)+IF($M$76="x",2)+J469+IF($M$85="x",1)+IF($M$113="x",1)+IF($M$120="x",2)+IF($M$119="x",2)+IF($M$105="x",1)+IF($M$110="x",1)+IF($M$111="x",2)+IF($M$112="x",4)+IF($M$108="x",1)-IF($M$109="x",1)-IF($M$99="x",1)+IF($M$90="x",1)-IF($I$85="x",4)
&amp;"/"&amp;$C$3+IF($C$87="x",$I$3,$I$2)-$C$120+IF($C$75="x",2)+$I$16-$B$10+$M$94+IF($C$77="x",2)-IF($C$78="x",4)-IF($I$78="x",1)-IF($C$79="x",4)+IF($C$80="x",1)-IF($I$77="x",2)-IF($I$90="x",2)+IF($I$83="x",2)-IF($C$83="x",4)-$C$112-15+IF(H469="x",1)+I469+$M$77+IF(H471="x",1)+IF(J471="x",1)+IF($M$76="x",2)+J469+IF($M$85="x",1)+IF($M$113="x",1)+IF($M$120="x",2)+IF($M$119="x",2)+IF($M$105="x",1)+IF($M$110="x",1)+IF($M$111="x",2)+IF($M$112="x",4)+IF($M$108="x",1)-IF($M$109="x",1)-IF($M$99="x",1)+IF($M$90="x",1)-IF($I$85="x",4))</f>
        <v>0</v>
      </c>
      <c r="C469" s="49" t="str">
        <f>_xlfn.IFS($C$7="Minimaalinen","–",$C$7="Taskukokoinen","1",$C$7="Hyvin pieni","1n2",$C$7="Pieni","1n3",$C$7="Keskikokoinen","1n4",$C$7="Iso","1n6",$C$7="Valtava","1n8",$C$7="Suunnaton","2n6",$C$7="Giganttinen","3n6")</f>
        <v>1n4</v>
      </c>
      <c r="D469" s="18">
        <f>SUM($I$2+$C$120)+I469+$M$77+IF(I471="x",2)+IF(K471="x",2)+IF($M$119="x",2)+IF($M$108="x",1)+$M$94-IF($M$109="x",1)+K469</f>
        <v>0</v>
      </c>
      <c r="E469" s="49" t="str">
        <f>_xlfn.IFS($C$7="Minimaalinen","–",$C$7="Taskukokoinen","3",$C$7="Hyvin pieni","3n2",$C$7="Pieni","3n3",$C$7="Keskikokoinen","3n4",$C$7="Iso","3n6",$C$7="Valtava","3n8",$C$7="Suunnaton","6n6",$C$7="Giganttinen","9n6")</f>
        <v>3n4</v>
      </c>
      <c r="F469" s="12">
        <f>SUM(D469*3)</f>
        <v>0</v>
      </c>
      <c r="G469" s="12" t="str">
        <f>(IF($I$89="x","50 %","")&amp;(IF($C$81="x","20 %",""))&amp;(IF($C$82="x","50 %",""&amp;IF($M$91="x","50 % (5 j 20 %)",""&amp;IF($M$115="x","50 % (5 j 20 %)","")))))</f>
        <v/>
      </c>
      <c r="H469" s="28"/>
      <c r="I469" s="17">
        <v>0</v>
      </c>
      <c r="J469" s="17">
        <v>0</v>
      </c>
      <c r="K469" s="17">
        <v>0</v>
      </c>
      <c r="AI469" s="48"/>
      <c r="AJ469" s="48"/>
      <c r="AK469" s="48"/>
      <c r="AL469" s="48"/>
    </row>
    <row r="470" spans="1:38" x14ac:dyDescent="0.2">
      <c r="A470" s="25" t="s">
        <v>435</v>
      </c>
      <c r="B470" s="121">
        <f>_xlfn.IFS($C$3&lt;6,$C$3+IF($C$87="x",$I$3,$I$2)-$C$120+IF($C$75="x",2)+$I$16-$B$10+$M$94+IF($C$77="x",2)-IF($C$78="x",4)-IF($I$78="x",1)-IF($C$79="x",4)+IF($C$80="x",1)-IF($I$77="x",2)-IF($I$90="x",2)+IF($I$83="x",2)-IF($C$75="x",4)-$C$112+IF(H469="x",1)+I469+$M$77+IF(H471="x",1)+IF(J471="x",1)+IF($M$76="x",2)+J469+IF($M$85="x",1)+IF($M$113="x",1)+IF($M$120="x",2)+IF($M$119="x",2)+IF($M$105="x",1)+IF($M$110="x",1)+IF($M$111="x",2)+IF($M$112="x",4)+IF($M$108="x",1)-IF($M$109="x",1)-IF($M$99="x",1)+IF($M$90="x",1)-IF($I$85="x",4)-IF($C$97="x",2,4),
$C$3&lt;11,$C$3+IF($C$87="x",$I$3,$I$2)-$C$120+IF($C$75="x",2)+$I$16-$B$10+$M$94+IF($C$77="x",2)-IF($C$78="x",4)-IF($I$78="x",1)-IF($C$79="x",4)+IF($C$80="x",1)-IF($I$77="x",2)-IF($I$90="x",2)+IF($I$83="x",2)-IF($C$83="x",4)-$C$112+IF(H469="x",1)+I469+$M$77+IF(H471="x",1)+IF(J471="x",1)+IF($M$76="x",2)+J469+IF($M$85="x",1)+IF($M$113="x",1)+IF($M$120="x",2)+IF($M$119="x",2)+IF($M$105="x",1)+IF($M$110="x",1)+IF($M$111="x",2)+IF($M$112="x",4)+IF($M$108="x",1)-IF($M$109="x",1)-IF($M$99="x",1)+IF($M$90="x",1)-IF($I$85="x",4)-IF($C$97="x",2,4)
&amp;"/"&amp;$C$3+IF($C$87="x",$I$3,$I$2)-$C$120+IF($C$75="x",2)+$I$16-$B$10+$M$94+IF($C$77="x",2)-IF($C$78="x",4)-IF($I$78="x",1)-IF($C$79="x",4)+IF($C$80="x",1)-IF($I$77="x",2)-IF($I$90="x",2)+IF($I$83="x",2)-IF($C$83="x",4)-$C$112-5+IF(H469="x",1)+I469+$M$77+IF(H471="x",1)+IF(J471="x",1)+IF($M$76="x",2)+J469+IF($M$85="x",1)+IF($M$113="x",1)+IF($M$120="x",2)+IF($M$119="x",2)+IF($M$105="x",1)+IF($M$110="x",1)+IF($M$111="x",2)+IF($M$112="x",4)+IF($M$108="x",1)-IF($M$109="x",1)-IF($M$99="x",1)+IF($M$90="x",1)-IF($I$85="x",4)-IF($C$97="x",2,4),
$C$3&lt;16,$C$3+IF($C$87="x",$I$3,$I$2)-$C$120+IF($C$75="x",2)+$I$16-$B$10+$M$94+IF($C$77="x",2)-IF($C$78="x",4)-IF($I$78="x",1)-IF($C$79="x",4)+IF($C$80="x",1)-IF($I$77="x",2)-IF($I$90="x",2)+IF($I$83="x",2)-IF($C$83="x",4)-$C$112+IF(H469="x",1)+I469+$M$77+IF(H471="x",1)+IF(J471="x",1)+IF($M$76="x",2)+J469+IF($M$85="x",1)+IF($M$113="x",1)+IF($M$120="x",2)+IF($M$119="x",2)+IF($M$105="x",1)+IF($M$110="x",1)+IF($M$111="x",2)+IF($M$112="x",4)+IF($M$108="x",1)-IF($M$109="x",1)+IF($M$99="x",20)-IF($M$99="x",1)+IF($M$90="x",1)-IF($I$85="x",4)-IF($C$97="x",2,4)
&amp;"/"&amp;$C$3+IF($C$87="x",$I$3,$I$2)-$C$120+IF($C$75="x",2)+$I$16-$B$10+$M$94+IF($C$77="x",2)-IF($C$78="x",4)-IF($I$78="x",1)-IF($C$79="x",4)+IF($C$80="x",1)-IF($I$77="x",2)-IF($I$90="x",2)+IF($I$83="x",2)-IF($C$83="x",4)-$C$112-5+IF(H469="x",1)+I469+$M$77+IF(H471="x",1)+IF(J471="x",1)+IF($M$76="x",2)+J469+IF($M$85="x",1)+IF($M$113="x",1)+IF($M$120="x",2)+IF($M$119="x",2)+IF($M$105="x",1)+IF($M$110="x",1)+IF($M$111="x",2)+IF($M$112="x",4)+IF($M$108="x",1)-IF($M$109="x",1)-IF($M$99="x",1)+IF($M$90="x",1)-IF($I$85="x",4)-IF($C$97="x",2,4)
&amp;"/"&amp;$C$3+IF($C$87="x",$I$3,$I$2)-$C$120+IF($C$75="x",2)+$I$16-$B$10+$M$94+IF($C$77="x",2)-IF($C$78="x",4)-IF($I$78="x",1)-IF($C$79="x",4)+IF($C$80="x",1)-IF($I$77="x",2)-IF($I$90="x",2)+IF($I$83="x",2)-IF($C$83="x",4)-$C$112-10+IF(H469="x",1)+I469+$M$77+IF(H471="x",1)+IF(J471="x",1)+IF($M$76="x",2)+J469+IF($M$85="x",1)+IF($M$113="x",1)+IF($M$120="x",2)+IF($M$119="x",2)+IF($M$105="x",1)+IF($M$110="x",1)+IF($M$111="x",2)+IF($M$112="x",4)+IF($M$108="x",1)-IF($M$109="x",1)-IF($M$99="x",1)+IF($M$90="x",1)-IF($I$85="x",4)-IF($C$97="x",2,4),
$C$3&gt;15,$C$3+IF($C$87="x",$I$3,$I$2)-$C$120+IF($C$75="x",2)+$I$16-$B$10+$M$94+IF($C$77="x",2)-IF($C$78="x",4)-IF($I$78="x",1)-IF($C$79="x",4)+IF($C$80="x",1)-IF($I$77="x",2)-IF($I$90="x",2)+IF($I$83="x",2)-IF($C$83="x",4)-$C$112+IF(H469="x",1)+I469+$M$77+IF(H471="x",1)+IF(J471="x",1)+IF($M$76="x",2)+J469+IF($M$85="x",1)+IF($M$113="x",1)+IF($M$120="x",2)+IF($M$119="x",2)+IF($M$105="x",1)+IF($M$110="x",1)+IF($M$111="x",2)+IF($M$112="x",4)+IF($M$108="x",1)-IF($M$109="x",1)-IF($M$99="x",1)+IF($M$90="x",1)-IF($I$85="x",4)-IF($C$97="x",2,4)
&amp;"/"&amp;$C$3+IF($C$87="x",$I$3,$I$2)-$C$120+IF($C$75="x",2)+$I$16-$B$10+$M$94+IF($C$77="x",2)-IF($C$78="x",4)-IF($I$78="x",1)-IF($C$79="x",4)+IF($C$80="x",1)-IF($I$77="x",2)-IF($I$90="x",2)+IF($I$83="x",2)-IF($C$83="x",4)-$C$112-5+IF(H469="x",1)+I469+$M$77+IF(H471="x",1)+IF(J471="x",1)+IF($M$76="x",2)+J469+IF($M$85="x",1)+IF($M$113="x",1)+IF($M$120="x",2)+IF($M$119="x",2)+IF($M$105="x",1)+IF($M$110="x",1)+IF($M$111="x",2)+IF($M$112="x",4)+IF($M$108="x",1)-IF($M$109="x",1)-IF($M$99="x",1)+IF($M$90="x",1)-IF($I$85="x",4)-IF($C$97="x",2,4)
&amp;"/"&amp;$C$3+IF($C$87="x",$I$3,$I$2)-$C$120+IF($C$75="x",2)+$I$16-$B$10+$M$94+IF($C$77="x",2)-IF($C$78="x",4)-IF($I$78="x",1)-IF($C$79="x",4)+IF($C$80="x",1)-IF($I$77="x",2)-IF($I$90="x",2)+IF($I$83="x",2)-IF($C$83="x",4)-$C$112-10+IF(H469="x",1)+I469+$M$77+IF(H471="x",1)+IF(J471="x",1)+IF($M$76="x",2)+J469+IF($M$85="x",1)+IF($M$113="x",1)+IF($M$120="x",2)+IF($M$119="x",2)+IF($M$105="x",1)+IF($M$110="x",1)+IF($M$111="x",2)+IF($M$112="x",4)+IF($M$108="x",1)-IF($M$109="x",1)-IF($M$99="x",1)+IF($M$90="x",1)-IF($I$85="x",4)-IF($C$97="x",2,4)
&amp;"/"&amp;$C$3+IF($C$87="x",$I$3,$I$2)-$C$120+IF($C$75="x",2)+$I$16-$B$10+$M$94+IF($C$77="x",2)-IF($C$78="x",4)-IF($I$78="x",1)-IF($C$79="x",4)+IF($C$80="x",1)-IF($I$77="x",2)-IF($I$90="x",2)+IF($I$83="x",2)-IF($C$83="x",4)-$C$112-15+IF(H469="x",1)+I469+$M$77+IF(H471="x",1)+IF(J471="x",1)+IF($M$76="x",2)+J469+IF($M$85="x",1)+IF($M$113="x",1)+IF($M$120="x",2)+IF($M$119="x",2)+IF($M$105="x",1)+IF($M$110="x",1)+IF($M$111="x",2)+IF($M$112="x",4)+IF($M$108="x",1)-IF($M$109="x",1)-IF($M$99="x",1)+IF($M$90="x",1)-IF($I$85="x",4)-IF($C$97="x",2,4))</f>
        <v>-4</v>
      </c>
      <c r="C470" s="49" t="str">
        <f>_xlfn.IFS($C$7="Minimaalinen","–",$C$7="Taskukokoinen","1",$C$7="Hyvin pieni","1n2",$C$7="Pieni","1n3",$C$7="Keskikokoinen","1n4",$C$7="Iso","1n6",$C$7="Valtava","1n8",$C$7="Suunnaton","2n6",$C$7="Giganttinen","3n6")</f>
        <v>1n4</v>
      </c>
      <c r="D470" s="121">
        <f>SUM($I$2+$C$120)+I469+$M$77+IF(I471="x",2)+IF(K471="x",2)+IF($M$119="x",2)+IF($M$108="x",1)+$M$94-IF($M$109="x",1)+K469</f>
        <v>0</v>
      </c>
      <c r="E470" s="49" t="str">
        <f>_xlfn.IFS($C$7="Minimaalinen","–",$C$7="Taskukokoinen","3",$C$7="Hyvin pieni","3n2",$C$7="Pieni","3n3",$C$7="Keskikokoinen","3n4",$C$7="Iso","3n6",$C$7="Valtava","3n8",$C$7="Suunnaton","6n6",$C$7="Giganttinen","9n6")</f>
        <v>3n4</v>
      </c>
      <c r="F470" s="12">
        <f>SUM(D470*3)</f>
        <v>0</v>
      </c>
      <c r="G470" s="82" t="str">
        <f>(IF($I$89="x","50 %","")&amp;(IF($C$81="x","20 %",""))&amp;(IF($C$82="x","50 %","")))</f>
        <v/>
      </c>
      <c r="H470" s="14" t="s">
        <v>220</v>
      </c>
      <c r="I470" s="14" t="s">
        <v>221</v>
      </c>
      <c r="J470" s="14" t="s">
        <v>222</v>
      </c>
      <c r="K470" s="14" t="s">
        <v>223</v>
      </c>
      <c r="AI470" s="40"/>
      <c r="AJ470" s="40"/>
      <c r="AK470" s="40"/>
      <c r="AL470" s="40"/>
    </row>
    <row r="471" spans="1:38" x14ac:dyDescent="0.2">
      <c r="A471" s="122" t="s">
        <v>436</v>
      </c>
      <c r="B471" s="123">
        <f>IF($I$85="x","PAINISSA",IF(AND($C$90="",$C$118=""),SUM($C$3,$I$2)-$C$120+IF($C$75="x",2)+$I$16-$B$10+$M$94+IF($C$77="x",2)-IF($C$78="x",4)-IF($I$78="x",1)-IF($C$79="x",4)+IF($C$80="x",1)-IF($I$77="x",2)-IF($I$90="x",2)+IF($I$83="x",2)-IF($C$75="x",4)-$C$112+IF(H469="x",1)+I469+$M$77+IF(H471="x",1)+IF(J471="x",1)+IF($M$76="x",2)+J469+IF($M$85="x",1)+IF($M$113="x",1)+IF($M$120="x",2)+IF($M$119="x",2)+IF($M$105="x",1)+IF($M$110="x",1)+IF($M$111="x",2)+IF($M$112="x",4)+IF($M$108="x",1)-IF($M$109="x",1)-IF($M$99="x",1)+IF($M$90="x",1)-IF($C$97="x",2,8),
IF(AND($C$90="x",$C$118=""),SUM($C$3,$I$2)-$C$120+IF($C$75="x",2)+$I$16-$B$10+$M$94+IF($C$77="x",2)-IF($C$78="x",4)-IF($I$78="x",1)-IF($C$79="x",4)+IF($C$80="x",1)-IF($I$77="x",2)-IF($I$90="x",2)+IF($I$83="x",2)-IF($C$83="x",4)-$C$112+IF(H469="x",1)+I469+$M$77+IF(H471="x",1)+IF(J471="x",1)+IF($M$76="x",2)+J469+IF($M$85="x",1)+IF($M$113="x",1)+IF($M$120="x",2)+IF($M$119="x",2)+IF($M$105="x",1)+IF($M$110="x",1)+IF($M$111="x",2)+IF($M$112="x",4)+IF($M$108="x",1)-IF($M$109="x",1)-IF($M$99="x",1)+IF($M$90="x",1)-IF($C$97="x",2,8)
&amp;"/"&amp;SUM($C$3,$I$2)-$C$120+IF($C$75="x",2)+$I$16-$B$10+$M$94+IF($C$77="x",2)-IF($C$78="x",4)-IF($I$78="x",1)-IF($C$79="x",4)+IF($C$80="x",1)-IF($I$77="x",2)-IF($I$90="x",2)+IF($I$83="x",2)-IF($C$83="x",4)-$C$112+IF(H469="x",1)+I469+$M$77+IF(H471="x",1)+IF(J471="x",1)+IF($M$76="x",2)+J469+IF($M$85="x",1)+IF($M$113="x",1)+IF($M$120="x",2)+IF($M$119="x",2)+IF($M$105="x",1)+IF($M$110="x",1)+IF($M$111="x",2)+IF($M$112="x",4)+IF($M$108="x",1)-IF($M$109="x",1)-IF($M$99="x",1)+IF($M$90="x",1)-IF($C$97="x",2,8)-5,
IF(AND($C$90="x",$C$118="x"),SUM($C$3,$I$2)-$C$120+IF($C$75="x",2)+$I$16-$B$10+$M$94+IF($C$77="x",2)-IF($C$78="x",4)-IF($I$78="x",1)-IF($C$79="x",4)+IF($C$80="x",1)-IF($I$77="x",2)-IF($I$90="x",2)+IF($I$83="x",2)-IF($C$83="x",4)-$C$112+IF(H469="x",1)+I469+$M$77+IF(H471="x",1)+IF(J471="x",1)+IF($M$76="x",2)+J469+IF($M$85="x",1)+IF($M$113="x",1)+IF($M$120="x",2)+IF($M$119="x",2)+IF($M$105="x",1)+IF($M$110="x",1)+IF($M$111="x",2)+IF($M$112="x",4)+IF($M$108="x",1)-IF($M$109="x",1)+IF($M$99="x",20)-IF($M$99="x",1)+IF($M$90="x",1)-IF($C$97="x",2,8)
&amp;"/"&amp;SUM($C$3,$I$2)-$C$120+IF($C$75="x",2)+$I$16-$B$10+$M$94+IF($C$77="x",2)-IF($C$78="x",4)-IF($I$78="x",1)-IF($C$79="x",4)+IF($C$80="x",1)-IF($I$77="x",2)-IF($I$90="x",2)+IF($I$83="x",2)-IF($C$83="x",4)-$C$112-5+IF(H469="x",1)+I469+$M$77+IF(H471="x",1)+IF(J471="x",1)+IF($M$76="x",2)+J469+IF($M$85="x",1)+IF($M$113="x",1)+IF($M$120="x",2)+IF($M$119="x",2)+IF($M$105="x",1)+IF($M$110="x",1)+IF($M$111="x",2)+IF($M$112="x",4)+IF($M$108="x",1)-IF($M$109="x",1)-IF($M$99="x",1)+IF($M$90="x",1)-IF($C$97="x",4,10)
&amp;"/"&amp;SUM($C$3,$I$2)-$C$120+IF($C$75="x",2)+$I$16-$B$10+$M$94+IF($C$77="x",2)-IF($C$78="x",4)-IF($I$78="x",1)-IF($C$79="x",4)+IF($C$80="x",1)-IF($I$77="x",2)-IF($I$90="x",2)+IF($I$83="x",2)-IF($C$83="x",4)-$C$112-10+IF(H469="x",1)+I469+$M$77+IF(H471="x",1)+IF(J471="x",1)+IF($M$76="x",2)+J469+IF($M$85="x",1)+IF($M$113="x",1)+IF($M$120="x",2)+IF($M$119="x",2)+IF($M$105="x",1)+IF($M$110="x",1)+IF($M$111="x",2)+IF($M$112="x",4)+IF($M$108="x",1)-IF($M$109="x",1)-IF($M$99="x",1)+IF($M$90="x",1)-IF($C$97="x",2,8)))))</f>
        <v>-8</v>
      </c>
      <c r="C471" s="54" t="str">
        <f>_xlfn.IFS($C$7="Minimaalinen","–",$C$7="Taskukokoinen","1",$C$7="Hyvin pieni","1n2",$C$7="Pieni","1n3",$C$7="Keskikokoinen","1n4",$C$7="Iso","1n6",$C$7="Valtava","1n8",$C$7="Suunnaton","2n6",$C$7="Giganttinen","3n6")</f>
        <v>1n4</v>
      </c>
      <c r="D471" s="123">
        <f>INT($I$2/2)+($C$120)+I469+$M$77+IF(I471="x",2)+IF(K471="x",2)+IF($M$119="x",2)+IF($M$108="x",1)+$M$94-IF($M$109="x",1)+K469</f>
        <v>0</v>
      </c>
      <c r="E471" s="54" t="str">
        <f>_xlfn.IFS($C$7="Minimaalinen","–",$C$7="Taskukokoinen","3",$C$7="Hyvin pieni","3n2",$C$7="Pieni","3n3",$C$7="Keskikokoinen","3n4",$C$7="Iso","3n6",$C$7="Valtava","3n8",$C$7="Suunnaton","6n6",$C$7="Giganttinen","9n6")</f>
        <v>3n4</v>
      </c>
      <c r="F471" s="124">
        <f>SUM(D471*3)</f>
        <v>0</v>
      </c>
      <c r="G471" s="123" t="str">
        <f>(IF($I$89="x","50 %","")&amp;(IF($C$81="x","20 %",""))&amp;(IF($C$82="x","50 %","")))</f>
        <v/>
      </c>
      <c r="H471" s="28"/>
      <c r="I471" s="28"/>
      <c r="J471" s="28"/>
      <c r="K471" s="28"/>
    </row>
    <row r="472" spans="1:38" x14ac:dyDescent="0.2">
      <c r="B472" s="15"/>
      <c r="C472" s="15"/>
      <c r="D472" s="15"/>
      <c r="F472" s="15"/>
      <c r="G472" s="15"/>
      <c r="H472" s="15"/>
      <c r="I472" s="15"/>
    </row>
    <row r="473" spans="1:38" x14ac:dyDescent="0.2">
      <c r="B473" s="15"/>
      <c r="C473" s="15"/>
      <c r="D473" s="15"/>
      <c r="F473" s="15"/>
      <c r="G473" s="15"/>
      <c r="H473" s="15"/>
      <c r="I473" s="15"/>
      <c r="AB473" s="115"/>
      <c r="AC473" s="116"/>
      <c r="AD473" s="116"/>
      <c r="AE473" s="116"/>
      <c r="AF473" s="116"/>
      <c r="AG473" s="116"/>
      <c r="AH473" s="116"/>
      <c r="AI473" s="116"/>
      <c r="AJ473" s="116"/>
      <c r="AK473" s="116"/>
      <c r="AL473" s="116"/>
    </row>
    <row r="474" spans="1:38" x14ac:dyDescent="0.2">
      <c r="A474" s="34" t="s">
        <v>308</v>
      </c>
      <c r="B474" s="11" t="s">
        <v>1</v>
      </c>
      <c r="C474" s="11" t="s">
        <v>2</v>
      </c>
      <c r="D474" s="11" t="s">
        <v>3</v>
      </c>
      <c r="E474" s="11" t="s">
        <v>229</v>
      </c>
      <c r="F474" s="11" t="s">
        <v>3</v>
      </c>
      <c r="G474" s="11" t="s">
        <v>45</v>
      </c>
      <c r="H474" s="14" t="s">
        <v>179</v>
      </c>
      <c r="I474" s="11" t="s">
        <v>242</v>
      </c>
      <c r="J474" s="11" t="s">
        <v>224</v>
      </c>
      <c r="K474" s="11" t="s">
        <v>225</v>
      </c>
      <c r="AB474" s="47"/>
      <c r="AC474" s="113"/>
      <c r="AD474" s="114"/>
      <c r="AE474" s="113"/>
      <c r="AF474" s="114"/>
      <c r="AG474" s="114"/>
      <c r="AH474" s="114"/>
      <c r="AI474" s="40"/>
      <c r="AJ474" s="40"/>
      <c r="AK474" s="40"/>
      <c r="AL474" s="40"/>
    </row>
    <row r="475" spans="1:38" x14ac:dyDescent="0.2">
      <c r="A475" s="15" t="s">
        <v>219</v>
      </c>
      <c r="B475" s="18">
        <f>_xlfn.IFS($C$3&lt;6,$C$3+IF($C$87="x",$I$3,$I$2)-$C$120+IF($C$75="x",2)+$I$16-$B$10+$M$94+IF($C$77="x",2)-IF($C$78="x",4)-IF($I$78="x",1)-IF($C$79="x",4)+IF($C$80="x",1)-IF($I$77="x",2)-IF($I$90="x",2)+IF($I$83="x",2)-IF($C$75="x",4)-$C$112+IF(H475="x",1)+I475+$M$77+IF(H477="x",1)+IF(J477="x",1)+IF($M$76="x",2)+J475+IF($M$85="x",1)+IF($M$113="x",1)+IF($M$120="x",2)+IF($M$119="x",2)+IF($M$105="x",1)+IF($M$110="x",1)+IF($M$111="x",2)+IF($M$112="x",4)+IF($M$108="x",1)-IF($M$109="x",1)-IF($M$99="x",1)+IF($M$90="x",1)-IF($I$85="x",4),
$C$3&lt;11,$C$3+IF($C$87="x",$I$3,$I$2)-$C$120+IF($C$75="x",2)+$I$16-$B$10+$M$94+IF($C$77="x",2)-IF($C$78="x",4)-IF($I$78="x",1)-IF($C$79="x",4)+IF($C$80="x",1)-IF($I$77="x",2)-IF($I$90="x",2)+IF($I$83="x",2)-IF($C$83="x",4)-$C$112+IF(H475="x",1)+I475+$M$77+IF(H477="x",1)+IF(J477="x",1)+IF($M$76="x",2)+J475+IF($M$85="x",1)+IF($M$113="x",1)+IF($M$120="x",2)+IF($M$119="x",2)+IF($M$105="x",1)+IF($M$110="x",1)+IF($M$111="x",2)+IF($M$112="x",4)+IF($M$108="x",1)-IF($M$109="x",1)-IF($M$99="x",1)+IF($M$90="x",1)-IF($I$85="x",4)
&amp;"/"&amp;$C$3+IF($C$87="x",$I$3,$I$2)-$C$120+IF($C$75="x",2)+$I$16-$B$10+$M$94+IF($C$77="x",2)-IF($C$78="x",4)-IF($I$78="x",1)-IF($C$79="x",4)+IF($C$80="x",1)-IF($I$77="x",2)-IF($I$90="x",2)+IF($I$83="x",2)-IF($C$83="x",4)-$C$112-5+IF(H475="x",1)+I475+$M$77+IF(H477="x",1)+IF(J477="x",1)+IF($M$76="x",2)+J475+IF($M$85="x",1)+IF($M$113="x",1)+IF($M$120="x",2)+IF($M$119="x",2)+IF($M$105="x",1)+IF($M$110="x",1)+IF($M$111="x",2)+IF($M$112="x",4)+IF($M$108="x",1)-IF($M$109="x",1)-IF($M$99="x",1)+IF($M$90="x",1)-IF($I$85="x",4),
$C$3&lt;16,$C$3+IF($C$87="x",$I$3,$I$2)-$C$120+IF($C$75="x",2)+$I$16-$B$10+$M$94+IF($C$77="x",2)-IF($C$78="x",4)-IF($I$78="x",1)-IF($C$79="x",4)+IF($C$80="x",1)-IF($I$77="x",2)-IF($I$90="x",2)+IF($I$83="x",2)-IF($C$83="x",4)-$C$112+IF(H475="x",1)+I475+$M$77+IF(H477="x",1)+IF(J477="x",1)+IF($M$76="x",2)+J475+IF($M$85="x",1)+IF($M$113="x",1)+IF($M$120="x",2)+IF($M$119="x",2)+IF($M$105="x",1)+IF($M$110="x",1)+IF($M$111="x",2)+IF($M$112="x",4)+IF($M$108="x",1)-IF($M$109="x",1)+IF($M$99="x",20)-IF($M$99="x",1)+IF($M$90="x",1)-IF($I$85="x",4)
&amp;"/"&amp;$C$3+IF($C$87="x",$I$3,$I$2)-$C$120+IF($C$75="x",2)+$I$16-$B$10+$M$94+IF($C$77="x",2)-IF($C$78="x",4)-IF($I$78="x",1)-IF($C$79="x",4)+IF($C$80="x",1)-IF($I$77="x",2)-IF($I$90="x",2)+IF($I$83="x",2)-IF($C$83="x",4)-$C$112-5+IF(H475="x",1)+I475+$M$77+IF(H477="x",1)+IF(J477="x",1)+IF($M$76="x",2)+J475+IF($M$85="x",1)+IF($M$113="x",1)+IF($M$120="x",2)+IF($M$119="x",2)+IF($M$105="x",1)+IF($M$110="x",1)+IF($M$111="x",2)+IF($M$112="x",4)+IF($M$108="x",1)-IF($M$109="x",1)-IF($M$99="x",1)+IF($M$90="x",1)-IF($I$85="x",4)
&amp;"/"&amp;$C$3+IF($C$87="x",$I$3,$I$2)-$C$120+IF($C$75="x",2)+$I$16-$B$10+$M$94+IF($C$77="x",2)-IF($C$78="x",4)-IF($I$78="x",1)-IF($C$79="x",4)+IF($C$80="x",1)-IF($I$77="x",2)-IF($I$90="x",2)+IF($I$83="x",2)-IF($C$83="x",4)-$C$112-10+IF(H475="x",1)+I475+$M$77+IF(H477="x",1)+IF(J477="x",1)+IF($M$76="x",2)+J475+IF($M$85="x",1)+IF($M$113="x",1)+IF($M$120="x",2)+IF($M$119="x",2)+IF($M$105="x",1)+IF($M$110="x",1)+IF($M$111="x",2)+IF($M$112="x",4)+IF($M$108="x",1)-IF($M$109="x",1)-IF($M$99="x",1)+IF($M$90="x",1)-IF($I$85="x",4),
$C$3&gt;15,$C$3+IF($C$87="x",$I$3,$I$2)-$C$120+IF($C$75="x",2)+$I$16-$B$10+$M$94+IF($C$77="x",2)-IF($C$78="x",4)-IF($I$78="x",1)-IF($C$79="x",4)+IF($C$80="x",1)-IF($I$77="x",2)-IF($I$90="x",2)+IF($I$83="x",2)-IF($C$83="x",4)-$C$112+IF(H475="x",1)+I475+$M$77+IF(H477="x",1)+IF(J477="x",1)+IF($M$76="x",2)+J475+IF($M$85="x",1)+IF($M$113="x",1)+IF($M$120="x",2)+IF($M$119="x",2)+IF($M$105="x",1)+IF($M$110="x",1)+IF($M$111="x",2)+IF($M$112="x",4)+IF($M$108="x",1)-IF($M$109="x",1)-IF($M$99="x",1)+IF($M$90="x",1)-IF($I$85="x",4)
&amp;"/"&amp;$C$3+IF($C$87="x",$I$3,$I$2)-$C$120+IF($C$75="x",2)+$I$16-$B$10+$M$94+IF($C$77="x",2)-IF($C$78="x",4)-IF($I$78="x",1)-IF($C$79="x",4)+IF($C$80="x",1)-IF($I$77="x",2)-IF($I$90="x",2)+IF($I$83="x",2)-IF($C$83="x",4)-$C$112-5+IF(H475="x",1)+I475+$M$77+IF(H477="x",1)+IF(J477="x",1)+IF($M$76="x",2)+J475+IF($M$85="x",1)+IF($M$113="x",1)+IF($M$120="x",2)+IF($M$119="x",2)+IF($M$105="x",1)+IF($M$110="x",1)+IF($M$111="x",2)+IF($M$112="x",4)+IF($M$108="x",1)-IF($M$109="x",1)-IF($M$99="x",1)+IF($M$90="x",1)-IF($I$85="x",4)
&amp;"/"&amp;$C$3+IF($C$87="x",$I$3,$I$2)-$C$120+IF($C$75="x",2)+$I$16-$B$10+$M$94+IF($C$77="x",2)-IF($C$78="x",4)-IF($I$78="x",1)-IF($C$79="x",4)+IF($C$80="x",1)-IF($I$77="x",2)-IF($I$90="x",2)+IF($I$83="x",2)-IF($C$83="x",4)-$C$112-10+IF(H475="x",1)+I475+$M$77+IF(H477="x",1)+IF(J477="x",1)+IF($M$76="x",2)+J475+IF($M$85="x",1)+IF($M$113="x",1)+IF($M$120="x",2)+IF($M$119="x",2)+IF($M$105="x",1)+IF($M$110="x",1)+IF($M$111="x",2)+IF($M$112="x",4)+IF($M$108="x",1)-IF($M$109="x",1)-IF($M$99="x",1)+IF($M$90="x",1)-IF($I$85="x",4)
&amp;"/"&amp;$C$3+IF($C$87="x",$I$3,$I$2)-$C$120+IF($C$75="x",2)+$I$16-$B$10+$M$94+IF($C$77="x",2)-IF($C$78="x",4)-IF($I$78="x",1)-IF($C$79="x",4)+IF($C$80="x",1)-IF($I$77="x",2)-IF($I$90="x",2)+IF($I$83="x",2)-IF($C$83="x",4)-$C$112-15+IF(H475="x",1)+I475+$M$77+IF(H477="x",1)+IF(J477="x",1)+IF($M$76="x",2)+J475+IF($M$85="x",1)+IF($M$113="x",1)+IF($M$120="x",2)+IF($M$119="x",2)+IF($M$105="x",1)+IF($M$110="x",1)+IF($M$111="x",2)+IF($M$112="x",4)+IF($M$108="x",1)-IF($M$109="x",1)-IF($M$99="x",1)+IF($M$90="x",1)-IF($I$85="x",4))</f>
        <v>0</v>
      </c>
      <c r="C475" s="49" t="str">
        <f>_xlfn.IFS($C$7="Minimaalinen","–",$C$7="Taskukokoinen","1",$C$7="Hyvin pieni","1n2",$C$7="Pieni","1n3",$C$7="Keskikokoinen","1n4",$C$7="Iso","1n6",$C$7="Valtava","1n8",$C$7="Suunnaton","2n6",$C$7="Giganttinen","3n6")</f>
        <v>1n4</v>
      </c>
      <c r="D475" s="18">
        <f>SUM($I$2+$C$120)+I475+$M$77+IF(I477="x",2)+IF(K477="x",2)+IF($M$119="x",2)+IF($M$108="x",1)+$M$94-IF($M$109="x",1)+K475</f>
        <v>0</v>
      </c>
      <c r="E475" s="49" t="str">
        <f>_xlfn.IFS($C$7="Minimaalinen","–",$C$7="Taskukokoinen","2",$C$7="Hyvin pieni","2n2",$C$7="Pieni","2n3",$C$7="Keskikokoinen","2n4",$C$7="Iso","2n6",$C$7="Valtava","2n8",$C$7="Suunnaton","4n6",$C$7="Giganttinen","6n6")</f>
        <v>2n4</v>
      </c>
      <c r="F475" s="12">
        <f>SUM(D475*2)</f>
        <v>0</v>
      </c>
      <c r="G475" s="12" t="str">
        <f>(IF($I$89="x","50 %","")&amp;(IF($C$81="x","20 %",""))&amp;(IF($C$82="x","50 %",""&amp;IF($M$91="x","50 % (5 j 20 %)",""&amp;IF($M$115="x","50 % (5 j 20 %)","")))))</f>
        <v/>
      </c>
      <c r="H475" s="28"/>
      <c r="I475" s="17">
        <v>0</v>
      </c>
      <c r="J475" s="17">
        <v>0</v>
      </c>
      <c r="K475" s="17">
        <v>0</v>
      </c>
      <c r="AI475" s="48"/>
      <c r="AJ475" s="48"/>
      <c r="AK475" s="48"/>
      <c r="AL475" s="48"/>
    </row>
    <row r="476" spans="1:38" x14ac:dyDescent="0.2">
      <c r="A476" s="25" t="s">
        <v>435</v>
      </c>
      <c r="B476" s="121">
        <f>_xlfn.IFS($C$3&lt;6,$C$3+IF($C$87="x",$I$3,$I$2)-$C$120+IF($C$75="x",2)+$I$16-$B$10+$M$94+IF($C$77="x",2)-IF($C$78="x",4)-IF($I$78="x",1)-IF($C$79="x",4)+IF($C$80="x",1)-IF($I$77="x",2)-IF($I$90="x",2)+IF($I$83="x",2)-IF($C$75="x",4)-$C$112+IF(H475="x",1)+I475+$M$77+IF(H477="x",1)+IF(J477="x",1)+IF($M$76="x",2)+J475+IF($M$85="x",1)+IF($M$113="x",1)+IF($M$120="x",2)+IF($M$119="x",2)+IF($M$105="x",1)+IF($M$110="x",1)+IF($M$111="x",2)+IF($M$112="x",4)+IF($M$108="x",1)-IF($M$109="x",1)-IF($M$99="x",1)+IF($M$90="x",1)-IF($I$85="x",4)-IF($C$97="x",2,4),
$C$3&lt;11,$C$3+IF($C$87="x",$I$3,$I$2)-$C$120+IF($C$75="x",2)+$I$16-$B$10+$M$94+IF($C$77="x",2)-IF($C$78="x",4)-IF($I$78="x",1)-IF($C$79="x",4)+IF($C$80="x",1)-IF($I$77="x",2)-IF($I$90="x",2)+IF($I$83="x",2)-IF($C$83="x",4)-$C$112+IF(H475="x",1)+I475+$M$77+IF(H477="x",1)+IF(J477="x",1)+IF($M$76="x",2)+J475+IF($M$85="x",1)+IF($M$113="x",1)+IF($M$120="x",2)+IF($M$119="x",2)+IF($M$105="x",1)+IF($M$110="x",1)+IF($M$111="x",2)+IF($M$112="x",4)+IF($M$108="x",1)-IF($M$109="x",1)-IF($M$99="x",1)+IF($M$90="x",1)-IF($I$85="x",4)-IF($C$97="x",2,4)
&amp;"/"&amp;$C$3+IF($C$87="x",$I$3,$I$2)-$C$120+IF($C$75="x",2)+$I$16-$B$10+$M$94+IF($C$77="x",2)-IF($C$78="x",4)-IF($I$78="x",1)-IF($C$79="x",4)+IF($C$80="x",1)-IF($I$77="x",2)-IF($I$90="x",2)+IF($I$83="x",2)-IF($C$83="x",4)-$C$112-5+IF(H475="x",1)+I475+$M$77+IF(H477="x",1)+IF(J477="x",1)+IF($M$76="x",2)+J475+IF($M$85="x",1)+IF($M$113="x",1)+IF($M$120="x",2)+IF($M$119="x",2)+IF($M$105="x",1)+IF($M$110="x",1)+IF($M$111="x",2)+IF($M$112="x",4)+IF($M$108="x",1)-IF($M$109="x",1)-IF($M$99="x",1)+IF($M$90="x",1)-IF($I$85="x",4)-IF($C$97="x",2,4),
$C$3&lt;16,$C$3+IF($C$87="x",$I$3,$I$2)-$C$120+IF($C$75="x",2)+$I$16-$B$10+$M$94+IF($C$77="x",2)-IF($C$78="x",4)-IF($I$78="x",1)-IF($C$79="x",4)+IF($C$80="x",1)-IF($I$77="x",2)-IF($I$90="x",2)+IF($I$83="x",2)-IF($C$83="x",4)-$C$112+IF(H475="x",1)+I475+$M$77+IF(H477="x",1)+IF(J477="x",1)+IF($M$76="x",2)+J475+IF($M$85="x",1)+IF($M$113="x",1)+IF($M$120="x",2)+IF($M$119="x",2)+IF($M$105="x",1)+IF($M$110="x",1)+IF($M$111="x",2)+IF($M$112="x",4)+IF($M$108="x",1)-IF($M$109="x",1)+IF($M$99="x",20)-IF($M$99="x",1)+IF($M$90="x",1)-IF($I$85="x",4)-IF($C$97="x",2,4)
&amp;"/"&amp;$C$3+IF($C$87="x",$I$3,$I$2)-$C$120+IF($C$75="x",2)+$I$16-$B$10+$M$94+IF($C$77="x",2)-IF($C$78="x",4)-IF($I$78="x",1)-IF($C$79="x",4)+IF($C$80="x",1)-IF($I$77="x",2)-IF($I$90="x",2)+IF($I$83="x",2)-IF($C$83="x",4)-$C$112-5+IF(H475="x",1)+I475+$M$77+IF(H477="x",1)+IF(J477="x",1)+IF($M$76="x",2)+J475+IF($M$85="x",1)+IF($M$113="x",1)+IF($M$120="x",2)+IF($M$119="x",2)+IF($M$105="x",1)+IF($M$110="x",1)+IF($M$111="x",2)+IF($M$112="x",4)+IF($M$108="x",1)-IF($M$109="x",1)-IF($M$99="x",1)+IF($M$90="x",1)-IF($I$85="x",4)-IF($C$97="x",2,4)
&amp;"/"&amp;$C$3+IF($C$87="x",$I$3,$I$2)-$C$120+IF($C$75="x",2)+$I$16-$B$10+$M$94+IF($C$77="x",2)-IF($C$78="x",4)-IF($I$78="x",1)-IF($C$79="x",4)+IF($C$80="x",1)-IF($I$77="x",2)-IF($I$90="x",2)+IF($I$83="x",2)-IF($C$83="x",4)-$C$112-10+IF(H475="x",1)+I475+$M$77+IF(H477="x",1)+IF(J477="x",1)+IF($M$76="x",2)+J475+IF($M$85="x",1)+IF($M$113="x",1)+IF($M$120="x",2)+IF($M$119="x",2)+IF($M$105="x",1)+IF($M$110="x",1)+IF($M$111="x",2)+IF($M$112="x",4)+IF($M$108="x",1)-IF($M$109="x",1)-IF($M$99="x",1)+IF($M$90="x",1)-IF($I$85="x",4)-IF($C$97="x",2,4),
$C$3&gt;15,$C$3+IF($C$87="x",$I$3,$I$2)-$C$120+IF($C$75="x",2)+$I$16-$B$10+$M$94+IF($C$77="x",2)-IF($C$78="x",4)-IF($I$78="x",1)-IF($C$79="x",4)+IF($C$80="x",1)-IF($I$77="x",2)-IF($I$90="x",2)+IF($I$83="x",2)-IF($C$83="x",4)-$C$112+IF(H475="x",1)+I475+$M$77+IF(H477="x",1)+IF(J477="x",1)+IF($M$76="x",2)+J475+IF($M$85="x",1)+IF($M$113="x",1)+IF($M$120="x",2)+IF($M$119="x",2)+IF($M$105="x",1)+IF($M$110="x",1)+IF($M$111="x",2)+IF($M$112="x",4)+IF($M$108="x",1)-IF($M$109="x",1)-IF($M$99="x",1)+IF($M$90="x",1)-IF($I$85="x",4)-IF($C$97="x",2,4)
&amp;"/"&amp;$C$3+IF($C$87="x",$I$3,$I$2)-$C$120+IF($C$75="x",2)+$I$16-$B$10+$M$94+IF($C$77="x",2)-IF($C$78="x",4)-IF($I$78="x",1)-IF($C$79="x",4)+IF($C$80="x",1)-IF($I$77="x",2)-IF($I$90="x",2)+IF($I$83="x",2)-IF($C$83="x",4)-$C$112-5+IF(H475="x",1)+I475+$M$77+IF(H477="x",1)+IF(J477="x",1)+IF($M$76="x",2)+J475+IF($M$85="x",1)+IF($M$113="x",1)+IF($M$120="x",2)+IF($M$119="x",2)+IF($M$105="x",1)+IF($M$110="x",1)+IF($M$111="x",2)+IF($M$112="x",4)+IF($M$108="x",1)-IF($M$109="x",1)-IF($M$99="x",1)+IF($M$90="x",1)-IF($I$85="x",4)-IF($C$97="x",2,4)
&amp;"/"&amp;$C$3+IF($C$87="x",$I$3,$I$2)-$C$120+IF($C$75="x",2)+$I$16-$B$10+$M$94+IF($C$77="x",2)-IF($C$78="x",4)-IF($I$78="x",1)-IF($C$79="x",4)+IF($C$80="x",1)-IF($I$77="x",2)-IF($I$90="x",2)+IF($I$83="x",2)-IF($C$83="x",4)-$C$112-10+IF(H475="x",1)+I475+$M$77+IF(H477="x",1)+IF(J477="x",1)+IF($M$76="x",2)+J475+IF($M$85="x",1)+IF($M$113="x",1)+IF($M$120="x",2)+IF($M$119="x",2)+IF($M$105="x",1)+IF($M$110="x",1)+IF($M$111="x",2)+IF($M$112="x",4)+IF($M$108="x",1)-IF($M$109="x",1)-IF($M$99="x",1)+IF($M$90="x",1)-IF($I$85="x",4)-IF($C$97="x",2,4)
&amp;"/"&amp;$C$3+IF($C$87="x",$I$3,$I$2)-$C$120+IF($C$75="x",2)+$I$16-$B$10+$M$94+IF($C$77="x",2)-IF($C$78="x",4)-IF($I$78="x",1)-IF($C$79="x",4)+IF($C$80="x",1)-IF($I$77="x",2)-IF($I$90="x",2)+IF($I$83="x",2)-IF($C$83="x",4)-$C$112-15+IF(H475="x",1)+I475+$M$77+IF(H477="x",1)+IF(J477="x",1)+IF($M$76="x",2)+J475+IF($M$85="x",1)+IF($M$113="x",1)+IF($M$120="x",2)+IF($M$119="x",2)+IF($M$105="x",1)+IF($M$110="x",1)+IF($M$111="x",2)+IF($M$112="x",4)+IF($M$108="x",1)-IF($M$109="x",1)-IF($M$99="x",1)+IF($M$90="x",1)-IF($I$85="x",4)-IF($C$97="x",2,4))</f>
        <v>-4</v>
      </c>
      <c r="C476" s="49" t="str">
        <f>_xlfn.IFS($C$7="Minimaalinen","–",$C$7="Taskukokoinen","1",$C$7="Hyvin pieni","1n2",$C$7="Pieni","1n3",$C$7="Keskikokoinen","1n4",$C$7="Iso","1n6",$C$7="Valtava","1n8",$C$7="Suunnaton","2n6",$C$7="Giganttinen","3n6")</f>
        <v>1n4</v>
      </c>
      <c r="D476" s="121">
        <f>SUM($I$2+$C$120)+I475+$M$77+IF(I477="x",2)+IF(K477="x",2)+IF($M$119="x",2)+IF($M$108="x",1)+$M$94-IF($M$109="x",1)+K475</f>
        <v>0</v>
      </c>
      <c r="E476" s="49" t="str">
        <f>_xlfn.IFS($C$7="Minimaalinen","–",$C$7="Taskukokoinen","2",$C$7="Hyvin pieni","2n2",$C$7="Pieni","2n3",$C$7="Keskikokoinen","2n4",$C$7="Iso","2n6",$C$7="Valtava","2n8",$C$7="Suunnaton","4n6",$C$7="Giganttinen","6n6")</f>
        <v>2n4</v>
      </c>
      <c r="F476" s="82">
        <f>SUM(D476*2)</f>
        <v>0</v>
      </c>
      <c r="G476" s="82" t="str">
        <f>(IF($I$89="x","50 %","")&amp;(IF($C$81="x","20 %",""))&amp;(IF($C$82="x","50 %","")))</f>
        <v/>
      </c>
      <c r="H476" s="14" t="s">
        <v>220</v>
      </c>
      <c r="I476" s="14" t="s">
        <v>221</v>
      </c>
      <c r="J476" s="14" t="s">
        <v>222</v>
      </c>
      <c r="K476" s="14" t="s">
        <v>223</v>
      </c>
      <c r="AI476" s="40"/>
      <c r="AJ476" s="40"/>
      <c r="AK476" s="40"/>
      <c r="AL476" s="40"/>
    </row>
    <row r="477" spans="1:38" x14ac:dyDescent="0.2">
      <c r="A477" s="122" t="s">
        <v>436</v>
      </c>
      <c r="B477" s="123">
        <f>IF($I$85="x","PAINISSA",IF(AND($C$90="",$C$118=""),SUM($C$3,$I$2)-$C$120+IF($C$75="x",2)+$I$16-$B$10+$M$94+IF($C$77="x",2)-IF($C$78="x",4)-IF($I$78="x",1)-IF($C$79="x",4)+IF($C$80="x",1)-IF($I$77="x",2)-IF($I$90="x",2)+IF($I$83="x",2)-IF($C$75="x",4)-$C$112+IF(H475="x",1)+I475+$M$77+IF(H477="x",1)+IF(J477="x",1)+IF($M$76="x",2)+J475+IF($M$85="x",1)+IF($M$113="x",1)+IF($M$120="x",2)+IF($M$119="x",2)+IF($M$105="x",1)+IF($M$110="x",1)+IF($M$111="x",2)+IF($M$112="x",4)+IF($M$108="x",1)-IF($M$109="x",1)-IF($M$99="x",1)+IF($M$90="x",1)-IF($C$97="x",2,8),
IF(AND($C$90="x",$C$118=""),SUM($C$3,$I$2)-$C$120+IF($C$75="x",2)+$I$16-$B$10+$M$94+IF($C$77="x",2)-IF($C$78="x",4)-IF($I$78="x",1)-IF($C$79="x",4)+IF($C$80="x",1)-IF($I$77="x",2)-IF($I$90="x",2)+IF($I$83="x",2)-IF($C$83="x",4)-$C$112+IF(H475="x",1)+I475+$M$77+IF(H477="x",1)+IF(J477="x",1)+IF($M$76="x",2)+J475+IF($M$85="x",1)+IF($M$113="x",1)+IF($M$120="x",2)+IF($M$119="x",2)+IF($M$105="x",1)+IF($M$110="x",1)+IF($M$111="x",2)+IF($M$112="x",4)+IF($M$108="x",1)-IF($M$109="x",1)-IF($M$99="x",1)+IF($M$90="x",1)-IF($C$97="x",2,8)
&amp;"/"&amp;SUM($C$3,$I$2)-$C$120+IF($C$75="x",2)+$I$16-$B$10+$M$94+IF($C$77="x",2)-IF($C$78="x",4)-IF($I$78="x",1)-IF($C$79="x",4)+IF($C$80="x",1)-IF($I$77="x",2)-IF($I$90="x",2)+IF($I$83="x",2)-IF($C$83="x",4)-$C$112+IF(H475="x",1)+I475+$M$77+IF(H477="x",1)+IF(J477="x",1)+IF($M$76="x",2)+J475+IF($M$85="x",1)+IF($M$113="x",1)+IF($M$120="x",2)+IF($M$119="x",2)+IF($M$105="x",1)+IF($M$110="x",1)+IF($M$111="x",2)+IF($M$112="x",4)+IF($M$108="x",1)-IF($M$109="x",1)-IF($M$99="x",1)+IF($M$90="x",1)-IF($C$97="x",2,8)-5,
IF(AND($C$90="x",$C$118="x"),SUM($C$3,$I$2)-$C$120+IF($C$75="x",2)+$I$16-$B$10+$M$94+IF($C$77="x",2)-IF($C$78="x",4)-IF($I$78="x",1)-IF($C$79="x",4)+IF($C$80="x",1)-IF($I$77="x",2)-IF($I$90="x",2)+IF($I$83="x",2)-IF($C$83="x",4)-$C$112+IF(H475="x",1)+I475+$M$77+IF(H477="x",1)+IF(J477="x",1)+IF($M$76="x",2)+J475+IF($M$85="x",1)+IF($M$113="x",1)+IF($M$120="x",2)+IF($M$119="x",2)+IF($M$105="x",1)+IF($M$110="x",1)+IF($M$111="x",2)+IF($M$112="x",4)+IF($M$108="x",1)-IF($M$109="x",1)+IF($M$99="x",20)-IF($M$99="x",1)+IF($M$90="x",1)-IF($C$97="x",2,8)
&amp;"/"&amp;SUM($C$3,$I$2)-$C$120+IF($C$75="x",2)+$I$16-$B$10+$M$94+IF($C$77="x",2)-IF($C$78="x",4)-IF($I$78="x",1)-IF($C$79="x",4)+IF($C$80="x",1)-IF($I$77="x",2)-IF($I$90="x",2)+IF($I$83="x",2)-IF($C$83="x",4)-$C$112-5+IF(H475="x",1)+I475+$M$77+IF(H477="x",1)+IF(J477="x",1)+IF($M$76="x",2)+J475+IF($M$85="x",1)+IF($M$113="x",1)+IF($M$120="x",2)+IF($M$119="x",2)+IF($M$105="x",1)+IF($M$110="x",1)+IF($M$111="x",2)+IF($M$112="x",4)+IF($M$108="x",1)-IF($M$109="x",1)-IF($M$99="x",1)+IF($M$90="x",1)-IF($C$97="x",4,10)
&amp;"/"&amp;SUM($C$3,$I$2)-$C$120+IF($C$75="x",2)+$I$16-$B$10+$M$94+IF($C$77="x",2)-IF($C$78="x",4)-IF($I$78="x",1)-IF($C$79="x",4)+IF($C$80="x",1)-IF($I$77="x",2)-IF($I$90="x",2)+IF($I$83="x",2)-IF($C$83="x",4)-$C$112-10+IF(H475="x",1)+I475+$M$77+IF(H477="x",1)+IF(J477="x",1)+IF($M$76="x",2)+J475+IF($M$85="x",1)+IF($M$113="x",1)+IF($M$120="x",2)+IF($M$119="x",2)+IF($M$105="x",1)+IF($M$110="x",1)+IF($M$111="x",2)+IF($M$112="x",4)+IF($M$108="x",1)-IF($M$109="x",1)-IF($M$99="x",1)+IF($M$90="x",1)-IF($C$97="x",2,8)))))</f>
        <v>-8</v>
      </c>
      <c r="C477" s="123" t="str">
        <f>_xlfn.IFS($C$7="Minimaalinen","–",$C$7="Taskukokoinen","1",$C$7="Hyvin pieni","1n2",$C$7="Pieni","1n3",$C$7="Keskikokoinen","1n4",$C$7="Iso","1n6",$C$7="Valtava","1n8",$C$7="Suunnaton","2n6",$C$7="Giganttinen","3n6")</f>
        <v>1n4</v>
      </c>
      <c r="D477" s="123">
        <f>INT($I$2/2)+($C$120)+I475+$M$77+IF(I477="x",2)+IF(K477="x",2)+IF($M$119="x",2)+IF($M$108="x",1)+$M$94-IF($M$109="x",1)+K475</f>
        <v>0</v>
      </c>
      <c r="E477" s="123" t="str">
        <f>_xlfn.IFS($C$7="Minimaalinen","–",$C$7="Taskukokoinen","2",$C$7="Hyvin pieni","2n2",$C$7="Pieni","2n3",$C$7="Keskikokoinen","2n4",$C$7="Iso","2n6",$C$7="Valtava","2n8",$C$7="Suunnaton","4n6",$C$7="Giganttinen","6n6")</f>
        <v>2n4</v>
      </c>
      <c r="F477" s="124">
        <f>SUM(D477*2)</f>
        <v>0</v>
      </c>
      <c r="G477" s="123" t="str">
        <f>(IF($I$89="x","50 %","")&amp;(IF($C$81="x","20 %",""))&amp;(IF($C$82="x","50 %","")))</f>
        <v/>
      </c>
      <c r="H477" s="28"/>
      <c r="I477" s="28"/>
      <c r="J477" s="28"/>
      <c r="K477" s="28"/>
    </row>
    <row r="478" spans="1:38" x14ac:dyDescent="0.2">
      <c r="A478" s="125" t="s">
        <v>250</v>
      </c>
      <c r="B478" s="25"/>
      <c r="C478" s="133"/>
      <c r="D478" s="133"/>
      <c r="E478" s="133"/>
      <c r="F478" s="133"/>
      <c r="G478" s="133"/>
      <c r="H478" s="14" t="s">
        <v>182</v>
      </c>
      <c r="I478" s="15"/>
    </row>
    <row r="479" spans="1:38" x14ac:dyDescent="0.2">
      <c r="A479" s="126">
        <f>IF($C$98="x",10*1.5,10)</f>
        <v>10</v>
      </c>
      <c r="B479" s="121">
        <f>_xlfn.IFS($I$85="x",
"PAINISSA",
$C$106="",
SUM($C$3,$I$3)+IF(H479="x",1)+$I$16-$B$10+$M$94+IF($C$77="x",2)-IF($C$78="x",4)-IF($I$78="x",1)-IF($I$77="x",2)-IF($I$90="x",2)+IF($I$83="x",2)-IF($C$76="x",4)-$C$112+IF(H475="x",1)+I475+$M$77+IF(H477="x",1)+IF(J477="x",1)+IF($M$76="x",2)+J475+IF($M$85="x",1)+IF($M$113="x",1)+IF($M$120="x",2)+IF($M$119="x",2)+IF($M$105="x",1)+IF($M$110="x",1)+IF($M$111="x",2)+IF($M$112="x",4)+IF($M$108="x",1)-IF($M$109="x",1)-IF($M$99="x",1)+IF($M$90="x",1),
$B$3&lt;6,
SUM($C$3,$I$3)+IF(H479="x",1)+$I$16-$B$10+$M$94+IF($C$77="x",2)-IF($C$78="x",4)-IF($I$78="x",1)-IF($I$77="x",2)-IF($I$90="x",2)+IF($I$83="x",2)-IF($C$76="x",4)-$C$112+IF(H475="x",1)+I475+$M$77+IF(H477="x",1)+IF(J477="x",1)+IF($M$76="x",2)+J475+IF($M$85="x",1)+IF($M$113="x",1)+IF($M$120="x",2)+IF($M$119="x",2)+IF($M$105="x",1)+IF($M$110="x",1)+IF($M$111="x",2)+IF($M$112="x",4)+IF($M$108="x",1)-IF($M$109="x",1)-IF($M$99="x",1)+IF($M$90="x",1),
$B$3&lt;11,
SUM($C$3,$I$3)+IF(H479="x",1)+$I$16-$B$10+$M$94+IF($C$77="x",2)-IF($C$78="x",4)-IF($I$78="x",1)-IF($I$77="x",2)-IF($I$90="x",2)+IF($I$83="x",2)-IF($C$76="x",4)-$C$112+IF(H475="x",1)+I475+$M$77+IF(H477="x",1)+IF(J477="x",1)+IF($M$76="x",2)+J475+IF($M$85="x",1)+IF($M$113="x",1)+IF($M$120="x",2)+IF($M$119="x",2)+IF($M$105="x",1)+IF($M$110="x",1)+IF($M$111="x",2)+IF($M$112="x",4)+IF($M$108="x",1)-IF($M$109="x",1)-IF($M$99="x",1)+IF($M$90="x",1)
&amp;"/"&amp;SUM($C$3,$I$3)+IF(H479="x",1)+$I$16-$B$10+$M$94+IF($C$77="x",2)-IF($C$78="x",4)-IF($I$78="x",1)-IF($I$77="x",2)-IF($I$90="x",2)+IF($I$83="x",2)-IF($C$76="x",4)-$C$112+IF(H475="x",1)+I475+$M$77+IF(H477="x",1)+IF(J477="x",1)+IF($M$76="x",2)+J475+IF($M$85="x",1)+IF($M$113="x",1)+IF($M$120="x",2)+IF($M$119="x",2)+IF($M$105="x",1)+IF($M$110="x",1)+IF($M$111="x",2)+IF($M$112="x",4)+IF($M$108="x",1)-IF($M$109="x",1)-IF($M$99="x",1)+IF($M$90="x",1)-5,
$B$3&lt;16,
SUM($C$3,$I$3)+IF(H479="x",1)+$I$16-$B$10+$M$94+IF($C$77="x",2)-IF($C$78="x",4)-IF($I$78="x",1)-IF($I$77="x",2)-IF($I$90="x",2)+IF($I$83="x",2)-IF($C$76="x",4)-$C$112+IF(H475="x",1)+I475+$M$77+IF(H477="x",1)+IF(J477="x",1)+IF($M$76="x",2)+J475+IF($M$85="x",1)+IF($M$113="x",1)+IF($M$120="x",2)+IF($M$119="x",2)+IF($M$105="x",1)+IF($M$110="x",1)+IF($M$111="x",2)+IF($M$112="x",4)+IF($M$108="x",1)-IF($M$109="x",1)-IF($M$99="x",1)+IF($M$90="x",1)
&amp;"/"&amp;SUM($C$3,$I$3)+IF(H479="x",1)+$I$16-$B$10+$M$94+IF($C$77="x",2)-IF($C$78="x",4)-IF($I$78="x",1)-IF($I$77="x",2)-IF($I$90="x",2)+IF($I$83="x",2)-IF($C$76="x",4)-$C$112+IF(H475="x",1)+I475+$M$77+IF(H477="x",1)+IF(J477="x",1)+IF($M$76="x",2)+J475+IF($M$85="x",1)+IF($M$113="x",1)+IF($M$120="x",2)+IF($M$119="x",2)+IF($M$105="x",1)+IF($M$110="x",1)+IF($M$111="x",2)+IF($M$112="x",4)+IF($M$108="x",1)-IF($M$109="x",1)-IF($M$99="x",1)+IF($M$90="x",1)-5
&amp;"/"&amp;SUM($C$3,$I$3)+IF(H479="x",1)+$I$16-$B$10+$M$94+IF($C$77="x",2)-IF($C$78="x",4)-IF($I$78="x",1)-IF($I$77="x",2)-IF($I$90="x",2)+IF($I$83="x",2)-IF($C$76="x",4)-$C$112+IF(H475="x",1)+I475+$M$77+IF(H477="x",1)+IF(J477="x",1)+IF($M$76="x",2)+J475+IF($M$85="x",1)+IF($M$113="x",1)+IF($M$120="x",2)+IF($M$119="x",2)+IF($M$105="x",1)+IF($M$110="x",1)+IF($M$111="x",2)+IF($M$112="x",4)+IF($M$108="x",1)-IF($M$109="x",1)-IF($M$99="x",1)+IF($M$90="x",1)-10,
$B$3&gt;=16,
SUM($C$3,$I$3)+IF(H479="x",1)+$I$16-$B$10+$M$94+IF($C$77="x",2)-IF($C$78="x",4)-IF($I$78="x",1)-IF($I$77="x",2)-IF($I$90="x",2)+IF($I$83="x",2)-IF($C$76="x",4)-$C$112+IF(H475="x",1)+I475+$M$77+IF(H477="x",1)+IF(J477="x",1)+IF($M$76="x",2)+J475+IF($M$85="x",1)+IF($M$113="x",1)+IF($M$120="x",2)+IF($M$119="x",2)+IF($M$105="x",1)+IF($M$110="x",1)+IF($M$111="x",2)+IF($M$112="x",4)+IF($M$108="x",1)-IF($M$109="x",1)-IF($M$99="x",1)+IF($M$90="x",1)
&amp;"/"&amp;SUM($C$3,$I$3)+IF(H479="x",1)+$I$16-$B$10+$M$94+IF($C$77="x",2)-IF($C$78="x",4)-IF($I$78="x",1)-IF($I$77="x",2)-IF($I$90="x",2)+IF($I$83="x",2)-IF($C$76="x",4)-$C$112+IF(H475="x",1)+I475+$M$77+IF(H477="x",1)+IF(J477="x",1)+IF($M$76="x",2)+J475+IF($M$85="x",1)+IF($M$113="x",1)+IF($M$120="x",2)+IF($M$119="x",2)+IF($M$105="x",1)+IF($M$110="x",1)+IF($M$111="x",2)+IF($M$112="x",4)+IF($M$108="x",1)-IF($M$109="x",1)-IF($M$99="x",1)+IF($M$90="x",1)-5
&amp;"/"&amp;SUM($C$3,$I$3)+IF(H479="x",1)+$I$16-$B$10+$M$94+IF($C$77="x",2)-IF($C$78="x",4)-IF($I$78="x",1)-IF($I$77="x",2)-IF($I$90="x",2)+IF($I$83="x",2)-IF($C$76="x",4)-$C$112+IF(H475="x",1)+I475+$M$77+IF(H477="x",1)+IF(J477="x",1)+IF($M$76="x",2)+J475+IF($M$85="x",1)+IF($M$113="x",1)+IF($M$120="x",2)+IF($M$119="x",2)+IF($M$105="x",1)+IF($M$110="x",1)+IF($M$111="x",2)+IF($M$112="x",4)+IF($M$108="x",1)-IF($M$109="x",1)-IF($M$99="x",1)+IF($M$90="x",1)-10
&amp;"/"&amp;SUM($C$3,$I$3)+IF(H479="x",1)+$I$16-$B$10+$M$94+IF($C$77="x",2)-IF($C$78="x",4)-IF($I$78="x",1)-IF($I$77="x",2)-IF($I$90="x",2)+IF($I$83="x",2)-IF($C$76="x",4)-$C$112+IF(H475="x",1)+I475+$M$77+IF(H477="x",1)+IF(J477="x",1)+IF($M$76="x",2)+J475+IF($M$85="x",1)+IF($M$113="x",1)+IF($M$120="x",2)+IF($M$119="x",2)+IF($M$105="x",1)+IF($M$110="x",1)+IF($M$111="x",2)+IF($M$112="x",4)+IF($M$108="x",1)-IF($M$109="x",1)-IF($M$99="x",1)+IF($M$90="x",1)-15)</f>
        <v>0</v>
      </c>
      <c r="C479" s="49" t="str">
        <f>_xlfn.IFS($C$7="Minimaalinen","–",$C$7="Taskukokoinen","1",$C$7="Hyvin pieni","1n2",$C$7="Pieni","1n3",$C$7="Keskikokoinen","1n4",$C$7="Iso","1n6",$C$7="Valtava","1n8",$C$7="Suunnaton","2n6",$C$7="Giganttinen","3n6")</f>
        <v>1n4</v>
      </c>
      <c r="D479" s="51">
        <f>SUM($I$2+$C$120)+I475+$M$77+IF(I477="x",2)+IF(K477="x",2)+IF($M$119="x",2)+IF($M$108="x",1)+$M$94-IF($M$109="x",1)+K475+IF(H479="x",1)</f>
        <v>0</v>
      </c>
      <c r="E479" s="49" t="str">
        <f>_xlfn.IFS($C$7="Minimaalinen","–",$C$7="Taskukokoinen","2",$C$7="Hyvin pieni","2n2",$C$7="Pieni","2n3",$C$7="Keskikokoinen","2n4",$C$7="Iso","2n6",$C$7="Valtava","2n8",$C$7="Suunnaton","4n6",$C$7="Giganttinen","6n6")</f>
        <v>2n4</v>
      </c>
      <c r="F479" s="82">
        <f>SUM(D479*2)</f>
        <v>0</v>
      </c>
      <c r="G479" s="82" t="str">
        <f>(IF($I$89="x","50 %","")&amp;(IF($C$81="x","20 %",""))&amp;(IF($C$82="x","50 %","")))</f>
        <v/>
      </c>
      <c r="H479" s="28"/>
      <c r="K479" s="82"/>
      <c r="AB479" s="115"/>
      <c r="AC479" s="116"/>
      <c r="AD479" s="116"/>
      <c r="AE479" s="116"/>
      <c r="AF479" s="116"/>
      <c r="AG479" s="116"/>
      <c r="AH479" s="116"/>
      <c r="AI479" s="116"/>
      <c r="AJ479" s="116"/>
      <c r="AK479" s="116"/>
      <c r="AL479" s="116"/>
    </row>
    <row r="480" spans="1:38" x14ac:dyDescent="0.2">
      <c r="A480" s="127">
        <f>A479*2</f>
        <v>20</v>
      </c>
      <c r="B480" s="123">
        <f>_xlfn.IFS($I$85="x",
"PAINISSA",
$C$106="",
SUM($C$3,$I$3)+IF(H479="x",1)+$I$16-$B$10+$M$94+IF($C$77="x",2)-IF($C$78="x",4)-IF($I$78="x",1)-IF($I$77="x",2)-IF($I$90="x",2)+IF($I$83="x",2)-IF($C$76="x",4)-$C$112+IF(H475="x",1)+I475+$M$77+IF(H477="x",1)+IF(J477="x",1)+IF($M$76="x",2)+J475+IF($M$85="x",1)+IF($M$113="x",1)+IF($M$120="x",2)+IF($M$119="x",2)+IF($M$105="x",1)+IF($M$110="x",1)+IF($M$111="x",2)+IF($M$112="x",4)+IF($M$108="x",1)-IF($M$109="x",1)-IF($M$99="x",1)+IF($M$90="x",1)-2,
$B$3&lt;6,
SUM($C$3,$I$3)+IF(H479="x",1)+$I$16-$B$10+$M$94+IF($C$77="x",2)-IF($C$78="x",4)-IF($I$78="x",1)-IF($I$77="x",2)-IF($I$90="x",2)+IF($I$83="x",2)-IF($C$76="x",4)-$C$112+IF(H475="x",1)+I475+$M$77+IF(H477="x",1)+IF(J477="x",1)+IF($M$76="x",2)+J475+IF($M$85="x",1)+IF($M$113="x",1)+IF($M$120="x",2)+IF($M$119="x",2)+IF($M$105="x",1)+IF($M$110="x",1)+IF($M$111="x",2)+IF($M$112="x",4)+IF($M$108="x",1)-IF($M$109="x",1)-IF($M$99="x",1)+IF($M$90="x",1)-2,
$B$3&lt;11,
SUM($C$3,$I$3)+IF(H479="x",1)+$I$16-$B$10+$M$94+IF($C$77="x",2)-IF($C$78="x",4)-IF($I$78="x",1)-IF($I$77="x",2)-IF($I$90="x",2)+IF($I$83="x",2)-IF($C$76="x",4)-$C$112+IF(H475="x",1)+I475+$M$77+IF(H477="x",1)+IF(J477="x",1)+IF($M$76="x",2)+J475+IF($M$85="x",1)+IF($M$113="x",1)+IF($M$120="x",2)+IF($M$119="x",2)+IF($M$105="x",1)+IF($M$110="x",1)+IF($M$111="x",2)+IF($M$112="x",4)+IF($M$108="x",1)-IF($M$109="x",1)-IF($M$99="x",1)+IF($M$90="x",1)-2
&amp;"/"&amp;SUM($C$3,$I$3)+IF(H479="x",1)+$I$16-$B$10+$M$94+IF($C$77="x",2)-IF($C$78="x",4)-IF($I$78="x",1)-IF($I$77="x",2)-IF($I$90="x",2)+IF($I$83="x",2)-IF($C$76="x",4)-$C$112+IF(H475="x",1)+I475+$M$77+IF(H477="x",1)+IF(J477="x",1)+IF($M$76="x",2)+J475+IF($M$85="x",1)+IF($M$113="x",1)+IF($M$120="x",2)+IF($M$119="x",2)+IF($M$105="x",1)+IF($M$110="x",1)+IF($M$111="x",2)+IF($M$112="x",4)+IF($M$108="x",1)-IF($M$109="x",1)-IF($M$99="x",1)+IF($M$90="x",1)-5-2,
$B$3&lt;16,
SUM($C$3,$I$3)+IF(H479="x",1)+$I$16-$B$10+$M$94+IF($C$77="x",2)-IF($C$78="x",4)-IF($I$78="x",1)-IF($I$77="x",2)-IF($I$90="x",2)+IF($I$83="x",2)-IF($C$76="x",4)-$C$112+IF(H475="x",1)+I475+$M$77+IF(H477="x",1)+IF(J477="x",1)+IF($M$76="x",2)+J475+IF($M$85="x",1)+IF($M$113="x",1)+IF($M$120="x",2)+IF($M$119="x",2)+IF($M$105="x",1)+IF($M$110="x",1)+IF($M$111="x",2)+IF($M$112="x",4)+IF($M$108="x",1)-IF($M$109="x",1)-IF($M$99="x",1)+IF($M$90="x",1)-2
&amp;"/"&amp;SUM($C$3,$I$3)+IF(H479="x",1)+$I$16-$B$10+$M$94+IF($C$77="x",2)-IF($C$78="x",4)-IF($I$78="x",1)-IF($I$77="x",2)-IF($I$90="x",2)+IF($I$83="x",2)-IF($C$76="x",4)-$C$112+IF(H475="x",1)+I475+$M$77+IF(H477="x",1)+IF(J477="x",1)+IF($M$76="x",2)+J475+IF($M$85="x",1)+IF($M$113="x",1)+IF($M$120="x",2)+IF($M$119="x",2)+IF($M$105="x",1)+IF($M$110="x",1)+IF($M$111="x",2)+IF($M$112="x",4)+IF($M$108="x",1)-IF($M$109="x",1)-IF($M$99="x",1)+IF($M$90="x",1)-5-2
&amp;"/"&amp;SUM($C$3,$I$3)+IF(H479="x",1)+$I$16-$B$10+$M$94+IF($C$77="x",2)-IF($C$78="x",4)-IF($I$78="x",1)-IF($I$77="x",2)-IF($I$90="x",2)+IF($I$83="x",2)-IF($C$76="x",4)-$C$112+IF(H475="x",1)+I475+$M$77+IF(H477="x",1)+IF(J477="x",1)+IF($M$76="x",2)+J475+IF($M$85="x",1)+IF($M$113="x",1)+IF($M$120="x",2)+IF($M$119="x",2)+IF($M$105="x",1)+IF($M$110="x",1)+IF($M$111="x",2)+IF($M$112="x",4)+IF($M$108="x",1)-IF($M$109="x",1)-IF($M$99="x",1)+IF($M$90="x",1)-10-2,
$B$3&gt;=16,
SUM($C$3,$I$3)+IF(H479="x",1)+$I$16-$B$10+$M$94+IF($C$77="x",2)-IF($C$78="x",4)-IF($I$78="x",1)-IF($I$77="x",2)-IF($I$90="x",2)+IF($I$83="x",2)-IF($C$76="x",4)-$C$112+IF(H475="x",1)+I475+$M$77+IF(H477="x",1)+IF(J477="x",1)+IF($M$76="x",2)+J475+IF($M$85="x",1)+IF($M$113="x",1)+IF($M$120="x",2)+IF($M$119="x",2)+IF($M$105="x",1)+IF($M$110="x",1)+IF($M$111="x",2)+IF($M$112="x",4)+IF($M$108="x",1)-IF($M$109="x",1)-IF($M$99="x",1)+IF($M$90="x",1)-2
&amp;"/"&amp;SUM($C$3,$I$3)+IF(H479="x",1)+$I$16-$B$10+$M$94+IF($C$77="x",2)-IF($C$78="x",4)-IF($I$78="x",1)-IF($I$77="x",2)-IF($I$90="x",2)+IF($I$83="x",2)-IF($C$76="x",4)-$C$112+IF(H475="x",1)+I475+$M$77+IF(H477="x",1)+IF(J477="x",1)+IF($M$76="x",2)+J475+IF($M$85="x",1)+IF($M$113="x",1)+IF($M$120="x",2)+IF($M$119="x",2)+IF($M$105="x",1)+IF($M$110="x",1)+IF($M$111="x",2)+IF($M$112="x",4)+IF($M$108="x",1)-IF($M$109="x",1)-IF($M$99="x",1)+IF($M$90="x",1)-5-2
&amp;"/"&amp;SUM($C$3,$I$3)+IF(H479="x",1)+$I$16-$B$10+$M$94+IF($C$77="x",2)-IF($C$78="x",4)-IF($I$78="x",1)-IF($I$77="x",2)-IF($I$90="x",2)+IF($I$83="x",2)-IF($C$76="x",4)-$C$112+IF(H475="x",1)+I475+$M$77+IF(H477="x",1)+IF(J477="x",1)+IF($M$76="x",2)+J475+IF($M$85="x",1)+IF($M$113="x",1)+IF($M$120="x",2)+IF($M$119="x",2)+IF($M$105="x",1)+IF($M$110="x",1)+IF($M$111="x",2)+IF($M$112="x",4)+IF($M$108="x",1)-IF($M$109="x",1)-IF($M$99="x",1)+IF($M$90="x",1)-10-2
&amp;"/"&amp;SUM($C$3,$I$3)+IF(H479="x",1)+$I$16-$B$10+$M$94+IF($C$77="x",2)-IF($C$78="x",4)-IF($I$78="x",1)-IF($I$77="x",2)-IF($I$90="x",2)+IF($I$83="x",2)-IF($C$76="x",4)-$C$112+IF(H475="x",1)+I475+$M$77+IF(H477="x",1)+IF(J477="x",1)+IF($M$76="x",2)+J475+IF($M$85="x",1)+IF($M$113="x",1)+IF($M$120="x",2)+IF($M$119="x",2)+IF($M$105="x",1)+IF($M$110="x",1)+IF($M$111="x",2)+IF($M$112="x",4)+IF($M$108="x",1)-IF($M$109="x",1)-IF($M$99="x",1)+IF($M$90="x",1)-15-2)</f>
        <v>-2</v>
      </c>
      <c r="C480" s="135"/>
      <c r="D480" s="136"/>
      <c r="E480" s="135"/>
      <c r="F480" s="135"/>
      <c r="G480" s="123" t="str">
        <f>(IF($I$89="x","50 %","")&amp;(IF($C$81="x","20 %",""))&amp;(IF($C$82="x","50 %","")))</f>
        <v/>
      </c>
      <c r="H480" s="133"/>
      <c r="I480" s="133"/>
      <c r="J480" s="133"/>
      <c r="K480" s="133"/>
      <c r="AB480" s="47"/>
      <c r="AC480" s="113"/>
      <c r="AD480" s="114"/>
      <c r="AE480" s="113"/>
      <c r="AF480" s="114"/>
      <c r="AG480" s="114"/>
      <c r="AH480" s="114"/>
      <c r="AI480" s="40"/>
      <c r="AJ480" s="40"/>
      <c r="AK480" s="40"/>
      <c r="AL480" s="40"/>
    </row>
    <row r="481" spans="1:38" x14ac:dyDescent="0.2">
      <c r="A481" s="126">
        <f>A479*3</f>
        <v>30</v>
      </c>
      <c r="B481" s="121">
        <f>_xlfn.IFS($I$85="x",
"PAINISSA",
$C$106="",
SUM($C$3,$I$3)+IF(H479="x",1)+$I$16-$B$10+$M$94+IF($C$77="x",2)-IF($C$78="x",4)-IF($I$78="x",1)-IF($I$77="x",2)-IF($I$90="x",2)+IF($I$83="x",2)-IF($C$76="x",4)-$C$112+IF(H475="x",1)+I475+$M$77+IF(H477="x",1)+IF(J477="x",1)+IF($M$76="x",2)+J475+IF($M$85="x",1)+IF($M$113="x",1)+IF($M$120="x",2)+IF($M$119="x",2)+IF($M$105="x",1)+IF($M$110="x",1)+IF($M$111="x",2)+IF($M$112="x",4)+IF($M$108="x",1)-IF($M$109="x",1)-IF($M$99="x",1)+IF($M$90="x",1)-4,
$B$3&lt;6,
SUM($C$3,$I$3)+IF(H479="x",1)+$I$16-$B$10+$M$94+IF($C$77="x",2)-IF($C$78="x",4)-IF($I$78="x",1)-IF($I$77="x",2)-IF($I$90="x",2)+IF($I$83="x",2)-IF($C$76="x",4)-$C$112+IF(H475="x",1)+I475+$M$77+IF(H477="x",1)+IF(J477="x",1)+IF($M$76="x",2)+J475+IF($M$85="x",1)+IF($M$113="x",1)+IF($M$120="x",2)+IF($M$119="x",2)+IF($M$105="x",1)+IF($M$110="x",1)+IF($M$111="x",2)+IF($M$112="x",4)+IF($M$108="x",1)-IF($M$109="x",1)-IF($M$99="x",1)+IF($M$90="x",1)-4,
$B$3&lt;11,
SUM($C$3,$I$3)+IF(H479="x",1)+$I$16-$B$10+$M$94+IF($C$77="x",2)-IF($C$78="x",4)-IF($I$78="x",1)-IF($I$77="x",2)-IF($I$90="x",2)+IF($I$83="x",2)-IF($C$76="x",4)-$C$112+IF(H475="x",1)+I475+$M$77+IF(H477="x",1)+IF(J477="x",1)+IF($M$76="x",2)+J475+IF($M$85="x",1)+IF($M$113="x",1)+IF($M$120="x",2)+IF($M$119="x",2)+IF($M$105="x",1)+IF($M$110="x",1)+IF($M$111="x",2)+IF($M$112="x",4)+IF($M$108="x",1)-IF($M$109="x",1)-IF($M$99="x",1)+IF($M$90="x",1)-4
&amp;"/"&amp;SUM($C$3,$I$3)+IF(H479="x",1)+$I$16-$B$10+$M$94+IF($C$77="x",2)-IF($C$78="x",4)-IF($I$78="x",1)-IF($I$77="x",2)-IF($I$90="x",2)+IF($I$83="x",2)-IF($C$76="x",4)-$C$112+IF(H475="x",1)+I475+$M$77+IF(H477="x",1)+IF(J477="x",1)+IF($M$76="x",2)+J475+IF($M$85="x",1)+IF($M$113="x",1)+IF($M$120="x",2)+IF($M$119="x",2)+IF($M$105="x",1)+IF($M$110="x",1)+IF($M$111="x",2)+IF($M$112="x",4)+IF($M$108="x",1)-IF($M$109="x",1)-IF($M$99="x",1)+IF($M$90="x",1)-5-4,
$B$3&lt;16,
SUM($C$3,$I$3)+IF(H479="x",1)+$I$16-$B$10+$M$94+IF($C$77="x",2)-IF($C$78="x",4)-IF($I$78="x",1)-IF($I$77="x",2)-IF($I$90="x",2)+IF($I$83="x",2)-IF($C$76="x",4)-$C$112+IF(H475="x",1)+I475+$M$77+IF(H477="x",1)+IF(J477="x",1)+IF($M$76="x",2)+J475+IF($M$85="x",1)+IF($M$113="x",1)+IF($M$120="x",2)+IF($M$119="x",2)+IF($M$105="x",1)+IF($M$110="x",1)+IF($M$111="x",2)+IF($M$112="x",4)+IF($M$108="x",1)-IF($M$109="x",1)-IF($M$99="x",1)+IF($M$90="x",1)-4
&amp;"/"&amp;SUM($C$3,$I$3)+IF(H479="x",1)+$I$16-$B$10+$M$94+IF($C$77="x",2)-IF($C$78="x",4)-IF($I$78="x",1)-IF($I$77="x",2)-IF($I$90="x",2)+IF($I$83="x",2)-IF($C$76="x",4)-$C$112+IF(H475="x",1)+I475+$M$77+IF(H477="x",1)+IF(J477="x",1)+IF($M$76="x",2)+J475+IF($M$85="x",1)+IF($M$113="x",1)+IF($M$120="x",2)+IF($M$119="x",2)+IF($M$105="x",1)+IF($M$110="x",1)+IF($M$111="x",2)+IF($M$112="x",4)+IF($M$108="x",1)-IF($M$109="x",1)-IF($M$99="x",1)+IF($M$90="x",1)-5-4
&amp;"/"&amp;SUM($C$3,$I$3)+IF(H479="x",1)+$I$16-$B$10+$M$94+IF($C$77="x",2)-IF($C$78="x",4)-IF($I$78="x",1)-IF($I$77="x",2)-IF($I$90="x",2)+IF($I$83="x",2)-IF($C$76="x",4)-$C$112+IF(H475="x",1)+I475+$M$77+IF(H477="x",1)+IF(J477="x",1)+IF($M$76="x",2)+J475+IF($M$85="x",1)+IF($M$113="x",1)+IF($M$120="x",2)+IF($M$119="x",2)+IF($M$105="x",1)+IF($M$110="x",1)+IF($M$111="x",2)+IF($M$112="x",4)+IF($M$108="x",1)-IF($M$109="x",1)-IF($M$99="x",1)+IF($M$90="x",1)-10-4,
$B$3&gt;=16,
SUM($C$3,$I$3)+IF(H479="x",1)+$I$16-$B$10+$M$94+IF($C$77="x",2)-IF($C$78="x",4)-IF($I$78="x",1)-IF($I$77="x",2)-IF($I$90="x",2)+IF($I$83="x",2)-IF($C$76="x",4)-$C$112+IF(H475="x",1)+I475+$M$77+IF(H477="x",1)+IF(J477="x",1)+IF($M$76="x",2)+J475+IF($M$85="x",1)+IF($M$113="x",1)+IF($M$120="x",2)+IF($M$119="x",2)+IF($M$105="x",1)+IF($M$110="x",1)+IF($M$111="x",2)+IF($M$112="x",4)+IF($M$108="x",1)-IF($M$109="x",1)-IF($M$99="x",1)+IF($M$90="x",1)-4
&amp;"/"&amp;SUM($C$3,$I$3)+IF(H479="x",1)+$I$16-$B$10+$M$94+IF($C$77="x",2)-IF($C$78="x",4)-IF($I$78="x",1)-IF($I$77="x",2)-IF($I$90="x",2)+IF($I$83="x",2)-IF($C$76="x",4)-$C$112+IF(H475="x",1)+I475+$M$77+IF(H477="x",1)+IF(J477="x",1)+IF($M$76="x",2)+J475+IF($M$85="x",1)+IF($M$113="x",1)+IF($M$120="x",2)+IF($M$119="x",2)+IF($M$105="x",1)+IF($M$110="x",1)+IF($M$111="x",2)+IF($M$112="x",4)+IF($M$108="x",1)-IF($M$109="x",1)-IF($M$99="x",1)+IF($M$90="x",1)-5-4
&amp;"/"&amp;SUM($C$3,$I$3)+IF(H479="x",1)+$I$16-$B$10+$M$94+IF($C$77="x",2)-IF($C$78="x",4)-IF($I$78="x",1)-IF($I$77="x",2)-IF($I$90="x",2)+IF($I$83="x",2)-IF($C$76="x",4)-$C$112+IF(H475="x",1)+I475+$M$77+IF(H477="x",1)+IF(J477="x",1)+IF($M$76="x",2)+J475+IF($M$85="x",1)+IF($M$113="x",1)+IF($M$120="x",2)+IF($M$119="x",2)+IF($M$105="x",1)+IF($M$110="x",1)+IF($M$111="x",2)+IF($M$112="x",4)+IF($M$108="x",1)-IF($M$109="x",1)-IF($M$99="x",1)+IF($M$90="x",1)-10-4
&amp;"/"&amp;SUM($C$3,$I$3)+IF(H479="x",1)+$I$16-$B$10+$M$94+IF($C$77="x",2)-IF($C$78="x",4)-IF($I$78="x",1)-IF($I$77="x",2)-IF($I$90="x",2)+IF($I$83="x",2)-IF($C$76="x",4)-$C$112+IF(H475="x",1)+I475+$M$77+IF(H477="x",1)+IF(J477="x",1)+IF($M$76="x",2)+J475+IF($M$85="x",1)+IF($M$113="x",1)+IF($M$120="x",2)+IF($M$119="x",2)+IF($M$105="x",1)+IF($M$110="x",1)+IF($M$111="x",2)+IF($M$112="x",4)+IF($M$108="x",1)-IF($M$109="x",1)-IF($M$99="x",1)+IF($M$90="x",1)-15-4)</f>
        <v>-4</v>
      </c>
      <c r="C481" s="135"/>
      <c r="D481" s="136"/>
      <c r="E481" s="135"/>
      <c r="F481" s="135"/>
      <c r="G481" s="82" t="str">
        <f>(IF($I$89="x","50 %","")&amp;(IF($C$81="x","20 %",""))&amp;(IF($C$82="x","50 %","")))</f>
        <v/>
      </c>
      <c r="H481" s="133"/>
      <c r="I481" s="133"/>
      <c r="J481" s="133"/>
      <c r="K481" s="133"/>
      <c r="AI481" s="48"/>
      <c r="AJ481" s="48"/>
      <c r="AK481" s="48"/>
      <c r="AL481" s="48"/>
    </row>
    <row r="482" spans="1:38" x14ac:dyDescent="0.2">
      <c r="A482" s="127">
        <f>A479*4</f>
        <v>40</v>
      </c>
      <c r="B482" s="123">
        <f>_xlfn.IFS($I$85="x",
"PAINISSA",
$C$106="",
SUM($C$3,$I$3)+IF(H479="x",1)+$I$16-$B$10+$M$94+IF($C$77="x",2)-IF($C$78="x",4)-IF($I$78="x",1)-IF($I$77="x",2)-IF($I$90="x",2)+IF($I$83="x",2)-IF($C$76="x",4)-$C$112+IF(H475="x",1)+I475+$M$77+IF(H477="x",1)+IF(J477="x",1)+IF($M$76="x",2)+J475+IF($M$85="x",1)+IF($M$113="x",1)+IF($M$120="x",2)+IF($M$119="x",2)+IF($M$105="x",1)+IF($M$110="x",1)+IF($M$111="x",2)+IF($M$112="x",4)+IF($M$108="x",1)-IF($M$109="x",1)-IF($M$99="x",1)+IF($M$90="x",1)-6,
$B$3&lt;6,
SUM($C$3,$I$3)+IF(H479="x",1)+$I$16-$B$10+$M$94+IF($C$77="x",2)-IF($C$78="x",4)-IF($I$78="x",1)-IF($I$77="x",2)-IF($I$90="x",2)+IF($I$83="x",2)-IF($C$76="x",4)-$C$112+IF(H475="x",1)+I475+$M$77+IF(H477="x",1)+IF(J477="x",1)+IF($M$76="x",2)+J475+IF($M$85="x",1)+IF($M$113="x",1)+IF($M$120="x",2)+IF($M$119="x",2)+IF($M$105="x",1)+IF($M$110="x",1)+IF($M$111="x",2)+IF($M$112="x",4)+IF($M$108="x",1)-IF($M$109="x",1)-IF($M$99="x",1)+IF($M$90="x",1)-6,
$B$3&lt;11,
SUM($C$3,$I$3)+IF(H479="x",1)+$I$16-$B$10+$M$94+IF($C$77="x",2)-IF($C$78="x",4)-IF($I$78="x",1)-IF($I$77="x",2)-IF($I$90="x",2)+IF($I$83="x",2)-IF($C$76="x",4)-$C$112+IF(H475="x",1)+I475+$M$77+IF(H477="x",1)+IF(J477="x",1)+IF($M$76="x",2)+J475+IF($M$85="x",1)+IF($M$113="x",1)+IF($M$120="x",2)+IF($M$119="x",2)+IF($M$105="x",1)+IF($M$110="x",1)+IF($M$111="x",2)+IF($M$112="x",4)+IF($M$108="x",1)-IF($M$109="x",1)-IF($M$99="x",1)+IF($M$90="x",1)-6
&amp;"/"&amp;SUM($C$3,$I$3)+IF(H479="x",1)+$I$16-$B$10+$M$94+IF($C$77="x",2)-IF($C$78="x",4)-IF($I$78="x",1)-IF($I$77="x",2)-IF($I$90="x",2)+IF($I$83="x",2)-IF($C$76="x",4)-$C$112+IF(H475="x",1)+I475+$M$77+IF(H477="x",1)+IF(J477="x",1)+IF($M$76="x",2)+J475+IF($M$85="x",1)+IF($M$113="x",1)+IF($M$120="x",2)+IF($M$119="x",2)+IF($M$105="x",1)+IF($M$110="x",1)+IF($M$111="x",2)+IF($M$112="x",4)+IF($M$108="x",1)-IF($M$109="x",1)-IF($M$99="x",1)+IF($M$90="x",1)-5-6,
$B$3&lt;16,
SUM($C$3,$I$3)+IF(H479="x",1)+$I$16-$B$10+$M$94+IF($C$77="x",2)-IF($C$78="x",4)-IF($I$78="x",1)-IF($I$77="x",2)-IF($I$90="x",2)+IF($I$83="x",2)-IF($C$76="x",4)-$C$112+IF(H475="x",1)+I475+$M$77+IF(H477="x",1)+IF(J477="x",1)+IF($M$76="x",2)+J475+IF($M$85="x",1)+IF($M$113="x",1)+IF($M$120="x",2)+IF($M$119="x",2)+IF($M$105="x",1)+IF($M$110="x",1)+IF($M$111="x",2)+IF($M$112="x",4)+IF($M$108="x",1)-IF($M$109="x",1)-IF($M$99="x",1)+IF($M$90="x",1)-6
&amp;"/"&amp;SUM($C$3,$I$3)+IF(H479="x",1)+$I$16-$B$10+$M$94+IF($C$77="x",2)-IF($C$78="x",4)-IF($I$78="x",1)-IF($I$77="x",2)-IF($I$90="x",2)+IF($I$83="x",2)-IF($C$76="x",4)-$C$112+IF(H475="x",1)+I475+$M$77+IF(H477="x",1)+IF(J477="x",1)+IF($M$76="x",2)+J475+IF($M$85="x",1)+IF($M$113="x",1)+IF($M$120="x",2)+IF($M$119="x",2)+IF($M$105="x",1)+IF($M$110="x",1)+IF($M$111="x",2)+IF($M$112="x",4)+IF($M$108="x",1)-IF($M$109="x",1)-IF($M$99="x",1)+IF($M$90="x",1)-5-6
&amp;"/"&amp;SUM($C$3,$I$3)+IF(H479="x",1)+$I$16-$B$10+$M$94+IF($C$77="x",2)-IF($C$78="x",4)-IF($I$78="x",1)-IF($I$77="x",2)-IF($I$90="x",2)+IF($I$83="x",2)-IF($C$76="x",4)-$C$112+IF(H475="x",1)+I475+$M$77+IF(H477="x",1)+IF(J477="x",1)+IF($M$76="x",2)+J475+IF($M$85="x",1)+IF($M$113="x",1)+IF($M$120="x",2)+IF($M$119="x",2)+IF($M$105="x",1)+IF($M$110="x",1)+IF($M$111="x",2)+IF($M$112="x",4)+IF($M$108="x",1)-IF($M$109="x",1)-IF($M$99="x",1)+IF($M$90="x",1)-10-6,
$B$3&gt;=16,
SUM($C$3,$I$3)+IF(H479="x",1)+$I$16-$B$10+$M$94+IF($C$77="x",2)-IF($C$78="x",4)-IF($I$78="x",1)-IF($I$77="x",2)-IF($I$90="x",2)+IF($I$83="x",2)-IF($C$76="x",4)-$C$112+IF(H475="x",1)+I475+$M$77+IF(H477="x",1)+IF(J477="x",1)+IF($M$76="x",2)+J475+IF($M$85="x",1)+IF($M$113="x",1)+IF($M$120="x",2)+IF($M$119="x",2)+IF($M$105="x",1)+IF($M$110="x",1)+IF($M$111="x",2)+IF($M$112="x",4)+IF($M$108="x",1)-IF($M$109="x",1)-IF($M$99="x",1)+IF($M$90="x",1)-6
&amp;"/"&amp;SUM($C$3,$I$3)+IF(H479="x",1)+$I$16-$B$10+$M$94+IF($C$77="x",2)-IF($C$78="x",4)-IF($I$78="x",1)-IF($I$77="x",2)-IF($I$90="x",2)+IF($I$83="x",2)-IF($C$76="x",4)-$C$112+IF(H475="x",1)+I475+$M$77+IF(H477="x",1)+IF(J477="x",1)+IF($M$76="x",2)+J475+IF($M$85="x",1)+IF($M$113="x",1)+IF($M$120="x",2)+IF($M$119="x",2)+IF($M$105="x",1)+IF($M$110="x",1)+IF($M$111="x",2)+IF($M$112="x",4)+IF($M$108="x",1)-IF($M$109="x",1)-IF($M$99="x",1)+IF($M$90="x",1)-5-6
&amp;"/"&amp;SUM($C$3,$I$3)+IF(H479="x",1)+$I$16-$B$10+$M$94+IF($C$77="x",2)-IF($C$78="x",4)-IF($I$78="x",1)-IF($I$77="x",2)-IF($I$90="x",2)+IF($I$83="x",2)-IF($C$76="x",4)-$C$112+IF(H475="x",1)+I475+$M$77+IF(H477="x",1)+IF(J477="x",1)+IF($M$76="x",2)+J475+IF($M$85="x",1)+IF($M$113="x",1)+IF($M$120="x",2)+IF($M$119="x",2)+IF($M$105="x",1)+IF($M$110="x",1)+IF($M$111="x",2)+IF($M$112="x",4)+IF($M$108="x",1)-IF($M$109="x",1)-IF($M$99="x",1)+IF($M$90="x",1)-10-6
&amp;"/"&amp;SUM($C$3,$I$3)+IF(H479="x",1)+$I$16-$B$10+$M$94+IF($C$77="x",2)-IF($C$78="x",4)-IF($I$78="x",1)-IF($I$77="x",2)-IF($I$90="x",2)+IF($I$83="x",2)-IF($C$76="x",4)-$C$112+IF(H475="x",1)+I475+$M$77+IF(H477="x",1)+IF(J477="x",1)+IF($M$76="x",2)+J475+IF($M$85="x",1)+IF($M$113="x",1)+IF($M$120="x",2)+IF($M$119="x",2)+IF($M$105="x",1)+IF($M$110="x",1)+IF($M$111="x",2)+IF($M$112="x",4)+IF($M$108="x",1)-IF($M$109="x",1)-IF($M$99="x",1)+IF($M$90="x",1)-15-6)</f>
        <v>-6</v>
      </c>
      <c r="C482" s="135"/>
      <c r="D482" s="136"/>
      <c r="E482" s="135"/>
      <c r="F482" s="135"/>
      <c r="G482" s="123" t="str">
        <f>(IF($I$89="x","50 %","")&amp;(IF($C$81="x","20 %",""))&amp;(IF($C$82="x","50 %","")))</f>
        <v/>
      </c>
      <c r="H482" s="133"/>
      <c r="I482" s="133"/>
      <c r="J482" s="133"/>
      <c r="K482" s="133"/>
      <c r="AI482" s="40"/>
      <c r="AJ482" s="40"/>
      <c r="AK482" s="40"/>
      <c r="AL482" s="40"/>
    </row>
    <row r="483" spans="1:38" x14ac:dyDescent="0.2">
      <c r="A483" s="126">
        <f>A479*5</f>
        <v>50</v>
      </c>
      <c r="B483" s="121">
        <f>_xlfn.IFS($I$85="x",
"PAINISSA",
$C$106="",
SUM($C$3,$I$3)+IF(H479="x",1)+$I$16-$B$10+$M$94+IF($C$77="x",2)-IF($C$78="x",4)-IF($I$78="x",1)-IF($I$77="x",2)-IF($I$90="x",2)+IF($I$83="x",2)-IF($C$76="x",4)-$C$112+IF(H475="x",1)+I475+$M$77+IF(H477="x",1)+IF(J477="x",1)+IF($M$76="x",2)+J475+IF($M$85="x",1)+IF($M$113="x",1)+IF($M$120="x",2)+IF($M$119="x",2)+IF($M$105="x",1)+IF($M$110="x",1)+IF($M$111="x",2)+IF($M$112="x",4)+IF($M$108="x",1)-IF($M$109="x",1)-IF($M$99="x",1)+IF($M$90="x",1)-8,
$B$3&lt;6,
SUM($C$3,$I$3)+IF(H479="x",1)+$I$16-$B$10+$M$94+IF($C$77="x",2)-IF($C$78="x",4)-IF($I$78="x",1)-IF($I$77="x",2)-IF($I$90="x",2)+IF($I$83="x",2)-IF($C$76="x",4)-$C$112+IF(H475="x",1)+I475+$M$77+IF(H477="x",1)+IF(J477="x",1)+IF($M$76="x",2)+J475+IF($M$85="x",1)+IF($M$113="x",1)+IF($M$120="x",2)+IF($M$119="x",2)+IF($M$105="x",1)+IF($M$110="x",1)+IF($M$111="x",2)+IF($M$112="x",4)+IF($M$108="x",1)-IF($M$109="x",1)-IF($M$99="x",1)+IF($M$90="x",1)-8,
$B$3&lt;11,
SUM($C$3,$I$3)+IF(H479="x",1)+$I$16-$B$10+$M$94+IF($C$77="x",2)-IF($C$78="x",4)-IF($I$78="x",1)-IF($I$77="x",2)-IF($I$90="x",2)+IF($I$83="x",2)-IF($C$76="x",4)-$C$112+IF(H475="x",1)+I475+$M$77+IF(H477="x",1)+IF(J477="x",1)+IF($M$76="x",2)+J475+IF($M$85="x",1)+IF($M$113="x",1)+IF($M$120="x",2)+IF($M$119="x",2)+IF($M$105="x",1)+IF($M$110="x",1)+IF($M$111="x",2)+IF($M$112="x",4)+IF($M$108="x",1)-IF($M$109="x",1)-IF($M$99="x",1)+IF($M$90="x",1)-8
&amp;"/"&amp;SUM($C$3,$I$3)+IF(H479="x",1)+$I$16-$B$10+$M$94+IF($C$77="x",2)-IF($C$78="x",4)-IF($I$78="x",1)-IF($I$77="x",2)-IF($I$90="x",2)+IF($I$83="x",2)-IF($C$76="x",4)-$C$112+IF(H475="x",1)+I475+$M$77+IF(H477="x",1)+IF(J477="x",1)+IF($M$76="x",2)+J475+IF($M$85="x",1)+IF($M$113="x",1)+IF($M$120="x",2)+IF($M$119="x",2)+IF($M$105="x",1)+IF($M$110="x",1)+IF($M$111="x",2)+IF($M$112="x",4)+IF($M$108="x",1)-IF($M$109="x",1)-IF($M$99="x",1)+IF($M$90="x",1)-5-8,
$B$3&lt;16,
SUM($C$3,$I$3)+IF(H479="x",1)+$I$16-$B$10+$M$94+IF($C$77="x",2)-IF($C$78="x",4)-IF($I$78="x",1)-IF($I$77="x",2)-IF($I$90="x",2)+IF($I$83="x",2)-IF($C$76="x",4)-$C$112+IF(H475="x",1)+I475+$M$77+IF(H477="x",1)+IF(J477="x",1)+IF($M$76="x",2)+J475+IF($M$85="x",1)+IF($M$113="x",1)+IF($M$120="x",2)+IF($M$119="x",2)+IF($M$105="x",1)+IF($M$110="x",1)+IF($M$111="x",2)+IF($M$112="x",4)+IF($M$108="x",1)-IF($M$109="x",1)-IF($M$99="x",1)+IF($M$90="x",1)-8
&amp;"/"&amp;SUM($C$3,$I$3)+IF(H479="x",1)+$I$16-$B$10+$M$94+IF($C$77="x",2)-IF($C$78="x",4)-IF($I$78="x",1)-IF($I$77="x",2)-IF($I$90="x",2)+IF($I$83="x",2)-IF($C$76="x",4)-$C$112+IF(H475="x",1)+I475+$M$77+IF(H477="x",1)+IF(J477="x",1)+IF($M$76="x",2)+J475+IF($M$85="x",1)+IF($M$113="x",1)+IF($M$120="x",2)+IF($M$119="x",2)+IF($M$105="x",1)+IF($M$110="x",1)+IF($M$111="x",2)+IF($M$112="x",4)+IF($M$108="x",1)-IF($M$109="x",1)-IF($M$99="x",1)+IF($M$90="x",1)-5-8
&amp;"/"&amp;SUM($C$3,$I$3)+IF(H479="x",1)+$I$16-$B$10+$M$94+IF($C$77="x",2)-IF($C$78="x",4)-IF($I$78="x",1)-IF($I$77="x",2)-IF($I$90="x",2)+IF($I$83="x",2)-IF($C$76="x",4)-$C$112+IF(H475="x",1)+I475+$M$77+IF(H477="x",1)+IF(J477="x",1)+IF($M$76="x",2)+J475+IF($M$85="x",1)+IF($M$113="x",1)+IF($M$120="x",2)+IF($M$119="x",2)+IF($M$105="x",1)+IF($M$110="x",1)+IF($M$111="x",2)+IF($M$112="x",4)+IF($M$108="x",1)-IF($M$109="x",1)-IF($M$99="x",1)+IF($M$90="x",1)-10-8,
$B$3&gt;=16,
SUM($C$3,$I$3)+IF(H479="x",1)+$I$16-$B$10+$M$94+IF($C$77="x",2)-IF($C$78="x",4)-IF($I$78="x",1)-IF($I$77="x",2)-IF($I$90="x",2)+IF($I$83="x",2)-IF($C$76="x",4)-$C$112+IF(H475="x",1)+I475+$M$77+IF(H477="x",1)+IF(J477="x",1)+IF($M$76="x",2)+J475+IF($M$85="x",1)+IF($M$113="x",1)+IF($M$120="x",2)+IF($M$119="x",2)+IF($M$105="x",1)+IF($M$110="x",1)+IF($M$111="x",2)+IF($M$112="x",4)+IF($M$108="x",1)-IF($M$109="x",1)-IF($M$99="x",1)+IF($M$90="x",1)-8
&amp;"/"&amp;SUM($C$3,$I$3)+IF(H479="x",1)+$I$16-$B$10+$M$94+IF($C$77="x",2)-IF($C$78="x",4)-IF($I$78="x",1)-IF($I$77="x",2)-IF($I$90="x",2)+IF($I$83="x",2)-IF($C$76="x",4)-$C$112+IF(H475="x",1)+I475+$M$77+IF(H477="x",1)+IF(J477="x",1)+IF($M$76="x",2)+J475+IF($M$85="x",1)+IF($M$113="x",1)+IF($M$120="x",2)+IF($M$119="x",2)+IF($M$105="x",1)+IF($M$110="x",1)+IF($M$111="x",2)+IF($M$112="x",4)+IF($M$108="x",1)-IF($M$109="x",1)-IF($M$99="x",1)+IF($M$90="x",1)-5-8
&amp;"/"&amp;SUM($C$3,$I$3)+IF(H479="x",1)+$I$16-$B$10+$M$94+IF($C$77="x",2)-IF($C$78="x",4)-IF($I$78="x",1)-IF($I$77="x",2)-IF($I$90="x",2)+IF($I$83="x",2)-IF($C$76="x",4)-$C$112+IF(H475="x",1)+I475+$M$77+IF(H477="x",1)+IF(J477="x",1)+IF($M$76="x",2)+J475+IF($M$85="x",1)+IF($M$113="x",1)+IF($M$120="x",2)+IF($M$119="x",2)+IF($M$105="x",1)+IF($M$110="x",1)+IF($M$111="x",2)+IF($M$112="x",4)+IF($M$108="x",1)-IF($M$109="x",1)-IF($M$99="x",1)+IF($M$90="x",1)-10-8
&amp;"/"&amp;SUM($C$3,$I$3)+IF(H479="x",1)+$I$16-$B$10+$M$94+IF($C$77="x",2)-IF($C$78="x",4)-IF($I$78="x",1)-IF($I$77="x",2)-IF($I$90="x",2)+IF($I$83="x",2)-IF($C$76="x",4)-$C$112+IF(H475="x",1)+I475+$M$77+IF(H477="x",1)+IF(J477="x",1)+IF($M$76="x",2)+J475+IF($M$85="x",1)+IF($M$113="x",1)+IF($M$120="x",2)+IF($M$119="x",2)+IF($M$105="x",1)+IF($M$110="x",1)+IF($M$111="x",2)+IF($M$112="x",4)+IF($M$108="x",1)-IF($M$109="x",1)-IF($M$99="x",1)+IF($M$90="x",1)-15-8)</f>
        <v>-8</v>
      </c>
      <c r="C483" s="135"/>
      <c r="D483" s="136"/>
      <c r="E483" s="135"/>
      <c r="F483" s="135"/>
      <c r="G483" s="82" t="str">
        <f>(IF($I$89="x","50 %","")&amp;(IF($C$81="x","20 %",""))&amp;(IF($C$82="x","50 %","")))</f>
        <v/>
      </c>
      <c r="H483" s="131"/>
      <c r="I483" s="131"/>
      <c r="J483" s="131"/>
      <c r="K483" s="131"/>
    </row>
    <row r="484" spans="1:38" x14ac:dyDescent="0.2">
      <c r="A484" s="45"/>
      <c r="B484" s="45"/>
      <c r="C484" s="45"/>
      <c r="D484" s="45"/>
      <c r="E484" s="45"/>
      <c r="F484" s="45"/>
      <c r="G484" s="45"/>
      <c r="H484" s="45"/>
      <c r="I484" s="45"/>
      <c r="J484" s="45"/>
      <c r="K484" s="45"/>
      <c r="AB484" s="115"/>
      <c r="AC484" s="116"/>
      <c r="AD484" s="116"/>
      <c r="AE484" s="116"/>
      <c r="AF484" s="116"/>
      <c r="AG484" s="116"/>
      <c r="AH484" s="116"/>
      <c r="AI484" s="116"/>
      <c r="AJ484" s="116"/>
      <c r="AK484" s="116"/>
      <c r="AL484" s="116"/>
    </row>
    <row r="485" spans="1:38" x14ac:dyDescent="0.2">
      <c r="A485" s="46"/>
      <c r="B485" s="48"/>
      <c r="C485" s="48"/>
      <c r="D485" s="48"/>
      <c r="E485" s="48"/>
      <c r="F485" s="48"/>
      <c r="G485" s="48"/>
      <c r="H485" s="48"/>
      <c r="I485" s="48"/>
      <c r="J485" s="48"/>
      <c r="K485" s="48"/>
      <c r="AB485" s="47"/>
      <c r="AC485" s="113"/>
      <c r="AD485" s="114"/>
      <c r="AE485" s="113"/>
      <c r="AF485" s="114"/>
      <c r="AG485" s="114"/>
      <c r="AH485" s="114"/>
      <c r="AI485" s="40"/>
      <c r="AJ485" s="40"/>
      <c r="AK485" s="40"/>
      <c r="AL485" s="40"/>
    </row>
    <row r="486" spans="1:38" x14ac:dyDescent="0.2">
      <c r="A486" s="34" t="s">
        <v>289</v>
      </c>
      <c r="B486" s="11" t="s">
        <v>1</v>
      </c>
      <c r="C486" s="11" t="s">
        <v>2</v>
      </c>
      <c r="D486" s="11" t="s">
        <v>3</v>
      </c>
      <c r="E486" s="11" t="s">
        <v>229</v>
      </c>
      <c r="F486" s="11" t="s">
        <v>3</v>
      </c>
      <c r="G486" s="11" t="s">
        <v>45</v>
      </c>
      <c r="H486" s="14" t="s">
        <v>179</v>
      </c>
      <c r="I486" s="130" t="s">
        <v>242</v>
      </c>
      <c r="J486" s="130" t="s">
        <v>224</v>
      </c>
      <c r="K486" s="130" t="s">
        <v>225</v>
      </c>
      <c r="AI486" s="48"/>
      <c r="AJ486" s="48"/>
      <c r="AK486" s="48"/>
      <c r="AL486" s="48"/>
    </row>
    <row r="487" spans="1:38" x14ac:dyDescent="0.2">
      <c r="A487" s="15" t="s">
        <v>219</v>
      </c>
      <c r="B487" s="18">
        <f>_xlfn.IFS($C$3&lt;6,$C$3+IF($C$87="x",$I$3,$I$2)-$C$120+IF($C$75="x",2)+$I$16-$B$10+$M$94+IF($C$77="x",2)-IF($C$78="x",4)-IF($I$78="x",1)-IF($C$79="x",4)+IF($C$80="x",1)-IF($I$77="x",2)-IF($I$90="x",2)+IF($I$83="x",2)-IF($C$75="x",4)-$C$112+IF(H487="x",1)+I487+$M$77+IF(H489="x",1)+IF(J489="x",1)+IF($M$76="x",2)+J487+IF($M$85="x",1)+IF($M$113="x",1)+IF($M$120="x",2)+IF($M$119="x",2)+IF($M$105="x",1)+IF($M$110="x",1)+IF($M$111="x",2)+IF($M$112="x",4)+IF($M$108="x",1)-IF($M$109="x",1)-IF($M$99="x",1)+IF($M$90="x",1)-IF($I$85="x",4),
$C$3&lt;11,$C$3+IF($C$87="x",$I$3,$I$2)-$C$120+IF($C$75="x",2)+$I$16-$B$10+$M$94+IF($C$77="x",2)-IF($C$78="x",4)-IF($I$78="x",1)-IF($C$79="x",4)+IF($C$80="x",1)-IF($I$77="x",2)-IF($I$90="x",2)+IF($I$83="x",2)-IF($C$83="x",4)-$C$112+IF(H487="x",1)+I487+$M$77+IF(H489="x",1)+IF(J489="x",1)+IF($M$76="x",2)+J487+IF($M$85="x",1)+IF($M$113="x",1)+IF($M$120="x",2)+IF($M$119="x",2)+IF($M$105="x",1)+IF($M$110="x",1)+IF($M$111="x",2)+IF($M$112="x",4)+IF($M$108="x",1)-IF($M$109="x",1)-IF($M$99="x",1)+IF($M$90="x",1)-IF($I$85="x",4)
&amp;"/"&amp;$C$3+IF($C$87="x",$I$3,$I$2)-$C$120+IF($C$75="x",2)+$I$16-$B$10+$M$94+IF($C$77="x",2)-IF($C$78="x",4)-IF($I$78="x",1)-IF($C$79="x",4)+IF($C$80="x",1)-IF($I$77="x",2)-IF($I$90="x",2)+IF($I$83="x",2)-IF($C$83="x",4)-$C$112-5+IF(H487="x",1)+I487+$M$77+IF(H489="x",1)+IF(J489="x",1)+IF($M$76="x",2)+J487+IF($M$85="x",1)+IF($M$113="x",1)+IF($M$120="x",2)+IF($M$119="x",2)+IF($M$105="x",1)+IF($M$110="x",1)+IF($M$111="x",2)+IF($M$112="x",4)+IF($M$108="x",1)-IF($M$109="x",1)-IF($M$99="x",1)+IF($M$90="x",1)-IF($I$85="x",4),
$C$3&lt;16,$C$3+IF($C$87="x",$I$3,$I$2)-$C$120+IF($C$75="x",2)+$I$16-$B$10+$M$94+IF($C$77="x",2)-IF($C$78="x",4)-IF($I$78="x",1)-IF($C$79="x",4)+IF($C$80="x",1)-IF($I$77="x",2)-IF($I$90="x",2)+IF($I$83="x",2)-IF($C$83="x",4)-$C$112+IF(H487="x",1)+I487+$M$77+IF(H489="x",1)+IF(J489="x",1)+IF($M$76="x",2)+J487+IF($M$85="x",1)+IF($M$113="x",1)+IF($M$120="x",2)+IF($M$119="x",2)+IF($M$105="x",1)+IF($M$110="x",1)+IF($M$111="x",2)+IF($M$112="x",4)+IF($M$108="x",1)-IF($M$109="x",1)+IF($M$99="x",20)-IF($M$99="x",1)+IF($M$90="x",1)-IF($I$85="x",4)
&amp;"/"&amp;$C$3+IF($C$87="x",$I$3,$I$2)-$C$120+IF($C$75="x",2)+$I$16-$B$10+$M$94+IF($C$77="x",2)-IF($C$78="x",4)-IF($I$78="x",1)-IF($C$79="x",4)+IF($C$80="x",1)-IF($I$77="x",2)-IF($I$90="x",2)+IF($I$83="x",2)-IF($C$83="x",4)-$C$112-5+IF(H487="x",1)+I487+$M$77+IF(H489="x",1)+IF(J489="x",1)+IF($M$76="x",2)+J487+IF($M$85="x",1)+IF($M$113="x",1)+IF($M$120="x",2)+IF($M$119="x",2)+IF($M$105="x",1)+IF($M$110="x",1)+IF($M$111="x",2)+IF($M$112="x",4)+IF($M$108="x",1)-IF($M$109="x",1)-IF($M$99="x",1)+IF($M$90="x",1)-IF($I$85="x",4)
&amp;"/"&amp;$C$3+IF($C$87="x",$I$3,$I$2)-$C$120+IF($C$75="x",2)+$I$16-$B$10+$M$94+IF($C$77="x",2)-IF($C$78="x",4)-IF($I$78="x",1)-IF($C$79="x",4)+IF($C$80="x",1)-IF($I$77="x",2)-IF($I$90="x",2)+IF($I$83="x",2)-IF($C$83="x",4)-$C$112-10+IF(H487="x",1)+I487+$M$77+IF(H489="x",1)+IF(J489="x",1)+IF($M$76="x",2)+J487+IF($M$85="x",1)+IF($M$113="x",1)+IF($M$120="x",2)+IF($M$119="x",2)+IF($M$105="x",1)+IF($M$110="x",1)+IF($M$111="x",2)+IF($M$112="x",4)+IF($M$108="x",1)-IF($M$109="x",1)-IF($M$99="x",1)+IF($M$90="x",1)-IF($I$85="x",4),
$C$3&gt;15,$C$3+IF($C$87="x",$I$3,$I$2)-$C$120+IF($C$75="x",2)+$I$16-$B$10+$M$94+IF($C$77="x",2)-IF($C$78="x",4)-IF($I$78="x",1)-IF($C$79="x",4)+IF($C$80="x",1)-IF($I$77="x",2)-IF($I$90="x",2)+IF($I$83="x",2)-IF($C$83="x",4)-$C$112+IF(H487="x",1)+I487+$M$77+IF(H489="x",1)+IF(J489="x",1)+IF($M$76="x",2)+J487+IF($M$85="x",1)+IF($M$113="x",1)+IF($M$120="x",2)+IF($M$119="x",2)+IF($M$105="x",1)+IF($M$110="x",1)+IF($M$111="x",2)+IF($M$112="x",4)+IF($M$108="x",1)-IF($M$109="x",1)-IF($M$99="x",1)+IF($M$90="x",1)-IF($I$85="x",4)
&amp;"/"&amp;$C$3+IF($C$87="x",$I$3,$I$2)-$C$120+IF($C$75="x",2)+$I$16-$B$10+$M$94+IF($C$77="x",2)-IF($C$78="x",4)-IF($I$78="x",1)-IF($C$79="x",4)+IF($C$80="x",1)-IF($I$77="x",2)-IF($I$90="x",2)+IF($I$83="x",2)-IF($C$83="x",4)-$C$112-5+IF(H487="x",1)+I487+$M$77+IF(H489="x",1)+IF(J489="x",1)+IF($M$76="x",2)+J487+IF($M$85="x",1)+IF($M$113="x",1)+IF($M$120="x",2)+IF($M$119="x",2)+IF($M$105="x",1)+IF($M$110="x",1)+IF($M$111="x",2)+IF($M$112="x",4)+IF($M$108="x",1)-IF($M$109="x",1)-IF($M$99="x",1)+IF($M$90="x",1)-IF($I$85="x",4)
&amp;"/"&amp;$C$3+IF($C$87="x",$I$3,$I$2)-$C$120+IF($C$75="x",2)+$I$16-$B$10+$M$94+IF($C$77="x",2)-IF($C$78="x",4)-IF($I$78="x",1)-IF($C$79="x",4)+IF($C$80="x",1)-IF($I$77="x",2)-IF($I$90="x",2)+IF($I$83="x",2)-IF($C$83="x",4)-$C$112-10+IF(H487="x",1)+I487+$M$77+IF(H489="x",1)+IF(J489="x",1)+IF($M$76="x",2)+J487+IF($M$85="x",1)+IF($M$113="x",1)+IF($M$120="x",2)+IF($M$119="x",2)+IF($M$105="x",1)+IF($M$110="x",1)+IF($M$111="x",2)+IF($M$112="x",4)+IF($M$108="x",1)-IF($M$109="x",1)-IF($M$99="x",1)+IF($M$90="x",1)-IF($I$85="x",4)
&amp;"/"&amp;$C$3+IF($C$87="x",$I$3,$I$2)-$C$120+IF($C$75="x",2)+$I$16-$B$10+$M$94+IF($C$77="x",2)-IF($C$78="x",4)-IF($I$78="x",1)-IF($C$79="x",4)+IF($C$80="x",1)-IF($I$77="x",2)-IF($I$90="x",2)+IF($I$83="x",2)-IF($C$83="x",4)-$C$112-15+IF(H487="x",1)+I487+$M$77+IF(H489="x",1)+IF(J489="x",1)+IF($M$76="x",2)+J487+IF($M$85="x",1)+IF($M$113="x",1)+IF($M$120="x",2)+IF($M$119="x",2)+IF($M$105="x",1)+IF($M$110="x",1)+IF($M$111="x",2)+IF($M$112="x",4)+IF($M$108="x",1)-IF($M$109="x",1)-IF($M$99="x",1)+IF($M$90="x",1)-IF($I$85="x",4))</f>
        <v>0</v>
      </c>
      <c r="C487" s="49" t="str">
        <f>_xlfn.IFS($C$7="Minimaalinen","1",$C$7="Taskukokoinen","1n2",$C$7="Hyvin pieni","1n3",$C$7="Pieni","1n4",$C$7="Keskikokoinen","1n6",$C$7="Iso","1n8",$C$7="Valtava","2n6",$C$7="Suunnaton","3n6",$C$7="Giganttinen","4n6")</f>
        <v>1n6</v>
      </c>
      <c r="D487" s="18">
        <f>SUM($I$2+$C$120)+I487+$M$77+IF(I489="x",2)+IF(K489="x",2)+IF($M$119="x",2)+IF($M$108="x",1)+$M$94-IF($M$109="x",1)+K487</f>
        <v>0</v>
      </c>
      <c r="E487" s="49" t="str">
        <f>_xlfn.IFS($C$7="Minimaalinen","2",$C$7="Taskukokoinen","2n2",$C$7="Hyvin pieni","2n3",$C$7="Pieni","2n4",$C$7="Keskikokoinen","2n6",$C$7="Iso","2n8",$C$7="Valtava","4n6",$C$7="Suunnaton","6n6",$C$7="Giganttinen","8n6")</f>
        <v>2n6</v>
      </c>
      <c r="F487" s="12">
        <f>SUM(D487*2)</f>
        <v>0</v>
      </c>
      <c r="G487" s="12" t="str">
        <f>(IF($I$89="x","50 %","")&amp;(IF($C$81="x","20 %",""))&amp;(IF($C$82="x","50 %",""&amp;IF($M$91="x","50 % (5 j 20 %)",""&amp;IF($M$115="x","50 % (5 j 20 %)","")))))</f>
        <v/>
      </c>
      <c r="H487" s="28"/>
      <c r="I487" s="17">
        <v>0</v>
      </c>
      <c r="J487" s="17">
        <v>0</v>
      </c>
      <c r="K487" s="17">
        <v>0</v>
      </c>
      <c r="AI487" s="40"/>
      <c r="AJ487" s="40"/>
      <c r="AK487" s="40"/>
      <c r="AL487" s="40"/>
    </row>
    <row r="488" spans="1:38" x14ac:dyDescent="0.2">
      <c r="A488" s="25" t="s">
        <v>435</v>
      </c>
      <c r="B488" s="121">
        <f>_xlfn.IFS($C$3&lt;6,$C$3+IF($C$87="x",$I$3,$I$2)-$C$120+IF($C$75="x",2)+$I$16-$B$10+$M$94+IF($C$77="x",2)-IF($C$78="x",4)-IF($I$78="x",1)-IF($C$79="x",4)+IF($C$80="x",1)-IF($I$77="x",2)-IF($I$90="x",2)+IF($I$83="x",2)-IF($C$75="x",4)-$C$112+IF(H487="x",1)+I487+$M$77+IF(H489="x",1)+IF(J489="x",1)+IF($M$76="x",2)+J487+IF($M$85="x",1)+IF($M$113="x",1)+IF($M$120="x",2)+IF($M$119="x",2)+IF($M$105="x",1)+IF($M$110="x",1)+IF($M$111="x",2)+IF($M$112="x",4)+IF($M$108="x",1)-IF($M$109="x",1)-IF($M$99="x",1)+IF($M$90="x",1)-IF($I$85="x",4)-IF($C$97="x",2,4),
$C$3&lt;11,$C$3+IF($C$87="x",$I$3,$I$2)-$C$120+IF($C$75="x",2)+$I$16-$B$10+$M$94+IF($C$77="x",2)-IF($C$78="x",4)-IF($I$78="x",1)-IF($C$79="x",4)+IF($C$80="x",1)-IF($I$77="x",2)-IF($I$90="x",2)+IF($I$83="x",2)-IF($C$83="x",4)-$C$112+IF(H487="x",1)+I487+$M$77+IF(H489="x",1)+IF(J489="x",1)+IF($M$76="x",2)+J487+IF($M$85="x",1)+IF($M$113="x",1)+IF($M$120="x",2)+IF($M$119="x",2)+IF($M$105="x",1)+IF($M$110="x",1)+IF($M$111="x",2)+IF($M$112="x",4)+IF($M$108="x",1)-IF($M$109="x",1)-IF($M$99="x",1)+IF($M$90="x",1)-IF($I$85="x",4)-IF($C$97="x",2,4)
&amp;"/"&amp;$C$3+IF($C$87="x",$I$3,$I$2)-$C$120+IF($C$75="x",2)+$I$16-$B$10+$M$94+IF($C$77="x",2)-IF($C$78="x",4)-IF($I$78="x",1)-IF($C$79="x",4)+IF($C$80="x",1)-IF($I$77="x",2)-IF($I$90="x",2)+IF($I$83="x",2)-IF($C$83="x",4)-$C$112-5+IF(H487="x",1)+I487+$M$77+IF(H489="x",1)+IF(J489="x",1)+IF($M$76="x",2)+J487+IF($M$85="x",1)+IF($M$113="x",1)+IF($M$120="x",2)+IF($M$119="x",2)+IF($M$105="x",1)+IF($M$110="x",1)+IF($M$111="x",2)+IF($M$112="x",4)+IF($M$108="x",1)-IF($M$109="x",1)-IF($M$99="x",1)+IF($M$90="x",1)-IF($I$85="x",4)-IF($C$97="x",2,4),
$C$3&lt;16,$C$3+IF($C$87="x",$I$3,$I$2)-$C$120+IF($C$75="x",2)+$I$16-$B$10+$M$94+IF($C$77="x",2)-IF($C$78="x",4)-IF($I$78="x",1)-IF($C$79="x",4)+IF($C$80="x",1)-IF($I$77="x",2)-IF($I$90="x",2)+IF($I$83="x",2)-IF($C$83="x",4)-$C$112+IF(H487="x",1)+I487+$M$77+IF(H489="x",1)+IF(J489="x",1)+IF($M$76="x",2)+J487+IF($M$85="x",1)+IF($M$113="x",1)+IF($M$120="x",2)+IF($M$119="x",2)+IF($M$105="x",1)+IF($M$110="x",1)+IF($M$111="x",2)+IF($M$112="x",4)+IF($M$108="x",1)-IF($M$109="x",1)+IF($M$99="x",20)-IF($M$99="x",1)+IF($M$90="x",1)-IF($I$85="x",4)-IF($C$97="x",2,4)
&amp;"/"&amp;$C$3+IF($C$87="x",$I$3,$I$2)-$C$120+IF($C$75="x",2)+$I$16-$B$10+$M$94+IF($C$77="x",2)-IF($C$78="x",4)-IF($I$78="x",1)-IF($C$79="x",4)+IF($C$80="x",1)-IF($I$77="x",2)-IF($I$90="x",2)+IF($I$83="x",2)-IF($C$83="x",4)-$C$112-5+IF(H487="x",1)+I487+$M$77+IF(H489="x",1)+IF(J489="x",1)+IF($M$76="x",2)+J487+IF($M$85="x",1)+IF($M$113="x",1)+IF($M$120="x",2)+IF($M$119="x",2)+IF($M$105="x",1)+IF($M$110="x",1)+IF($M$111="x",2)+IF($M$112="x",4)+IF($M$108="x",1)-IF($M$109="x",1)-IF($M$99="x",1)+IF($M$90="x",1)-IF($I$85="x",4)-IF($C$97="x",2,4)
&amp;"/"&amp;$C$3+IF($C$87="x",$I$3,$I$2)-$C$120+IF($C$75="x",2)+$I$16-$B$10+$M$94+IF($C$77="x",2)-IF($C$78="x",4)-IF($I$78="x",1)-IF($C$79="x",4)+IF($C$80="x",1)-IF($I$77="x",2)-IF($I$90="x",2)+IF($I$83="x",2)-IF($C$83="x",4)-$C$112-10+IF(H487="x",1)+I487+$M$77+IF(H489="x",1)+IF(J489="x",1)+IF($M$76="x",2)+J487+IF($M$85="x",1)+IF($M$113="x",1)+IF($M$120="x",2)+IF($M$119="x",2)+IF($M$105="x",1)+IF($M$110="x",1)+IF($M$111="x",2)+IF($M$112="x",4)+IF($M$108="x",1)-IF($M$109="x",1)-IF($M$99="x",1)+IF($M$90="x",1)-IF($I$85="x",4)-IF($C$97="x",2,4),
$C$3&gt;15,$C$3+IF($C$87="x",$I$3,$I$2)-$C$120+IF($C$75="x",2)+$I$16-$B$10+$M$94+IF($C$77="x",2)-IF($C$78="x",4)-IF($I$78="x",1)-IF($C$79="x",4)+IF($C$80="x",1)-IF($I$77="x",2)-IF($I$90="x",2)+IF($I$83="x",2)-IF($C$83="x",4)-$C$112+IF(H487="x",1)+I487+$M$77+IF(H489="x",1)+IF(J489="x",1)+IF($M$76="x",2)+J487+IF($M$85="x",1)+IF($M$113="x",1)+IF($M$120="x",2)+IF($M$119="x",2)+IF($M$105="x",1)+IF($M$110="x",1)+IF($M$111="x",2)+IF($M$112="x",4)+IF($M$108="x",1)-IF($M$109="x",1)-IF($M$99="x",1)+IF($M$90="x",1)-IF($I$85="x",4)-IF($C$97="x",2,4)
&amp;"/"&amp;$C$3+IF($C$87="x",$I$3,$I$2)-$C$120+IF($C$75="x",2)+$I$16-$B$10+$M$94+IF($C$77="x",2)-IF($C$78="x",4)-IF($I$78="x",1)-IF($C$79="x",4)+IF($C$80="x",1)-IF($I$77="x",2)-IF($I$90="x",2)+IF($I$83="x",2)-IF($C$83="x",4)-$C$112-5+IF(H487="x",1)+I487+$M$77+IF(H489="x",1)+IF(J489="x",1)+IF($M$76="x",2)+J487+IF($M$85="x",1)+IF($M$113="x",1)+IF($M$120="x",2)+IF($M$119="x",2)+IF($M$105="x",1)+IF($M$110="x",1)+IF($M$111="x",2)+IF($M$112="x",4)+IF($M$108="x",1)-IF($M$109="x",1)-IF($M$99="x",1)+IF($M$90="x",1)-IF($I$85="x",4)-IF($C$97="x",2,4)
&amp;"/"&amp;$C$3+IF($C$87="x",$I$3,$I$2)-$C$120+IF($C$75="x",2)+$I$16-$B$10+$M$94+IF($C$77="x",2)-IF($C$78="x",4)-IF($I$78="x",1)-IF($C$79="x",4)+IF($C$80="x",1)-IF($I$77="x",2)-IF($I$90="x",2)+IF($I$83="x",2)-IF($C$83="x",4)-$C$112-10+IF(H487="x",1)+I487+$M$77+IF(H489="x",1)+IF(J489="x",1)+IF($M$76="x",2)+J487+IF($M$85="x",1)+IF($M$113="x",1)+IF($M$120="x",2)+IF($M$119="x",2)+IF($M$105="x",1)+IF($M$110="x",1)+IF($M$111="x",2)+IF($M$112="x",4)+IF($M$108="x",1)-IF($M$109="x",1)-IF($M$99="x",1)+IF($M$90="x",1)-IF($I$85="x",4)-IF($C$97="x",2,4)
&amp;"/"&amp;$C$3+IF($C$87="x",$I$3,$I$2)-$C$120+IF($C$75="x",2)+$I$16-$B$10+$M$94+IF($C$77="x",2)-IF($C$78="x",4)-IF($I$78="x",1)-IF($C$79="x",4)+IF($C$80="x",1)-IF($I$77="x",2)-IF($I$90="x",2)+IF($I$83="x",2)-IF($C$83="x",4)-$C$112-15+IF(H487="x",1)+I487+$M$77+IF(H489="x",1)+IF(J489="x",1)+IF($M$76="x",2)+J487+IF($M$85="x",1)+IF($M$113="x",1)+IF($M$120="x",2)+IF($M$119="x",2)+IF($M$105="x",1)+IF($M$110="x",1)+IF($M$111="x",2)+IF($M$112="x",4)+IF($M$108="x",1)-IF($M$109="x",1)-IF($M$99="x",1)+IF($M$90="x",1)-IF($I$85="x",4)-IF($C$97="x",2,4))</f>
        <v>-4</v>
      </c>
      <c r="C488" s="49" t="str">
        <f>_xlfn.IFS($C$7="Minimaalinen","1",$C$7="Taskukokoinen","1n2",$C$7="Hyvin pieni","1n3",$C$7="Pieni","1n4",$C$7="Keskikokoinen","1n6",$C$7="Iso","1n8",$C$7="Valtava","2n6",$C$7="Suunnaton","3n6",$C$7="Giganttinen","4n6")</f>
        <v>1n6</v>
      </c>
      <c r="D488" s="121">
        <f>SUM($I$2+$C$120)+I487+$M$77+IF(I489="x",2)+IF(K489="x",2)+IF($M$119="x",2)+IF($M$108="x",1)+$M$94-IF($M$109="x",1)+K487</f>
        <v>0</v>
      </c>
      <c r="E488" s="49" t="str">
        <f>_xlfn.IFS($C$7="Minimaalinen","2",$C$7="Taskukokoinen","2n2",$C$7="Hyvin pieni","2n3",$C$7="Pieni","2n4",$C$7="Keskikokoinen","2n6",$C$7="Iso","2n8",$C$7="Valtava","4n6",$C$7="Suunnaton","6n6",$C$7="Giganttinen","8n6")</f>
        <v>2n6</v>
      </c>
      <c r="F488" s="82">
        <f>SUM(D488*2)</f>
        <v>0</v>
      </c>
      <c r="G488" s="82" t="str">
        <f>(IF($I$89="x","50 %","")&amp;(IF($C$81="x","20 %",""))&amp;(IF($C$82="x","50 %","")))</f>
        <v/>
      </c>
      <c r="H488" s="14" t="s">
        <v>220</v>
      </c>
      <c r="I488" s="14" t="s">
        <v>221</v>
      </c>
      <c r="J488" s="14" t="s">
        <v>222</v>
      </c>
      <c r="K488" s="14" t="s">
        <v>223</v>
      </c>
    </row>
    <row r="489" spans="1:38" x14ac:dyDescent="0.2">
      <c r="A489" s="122" t="s">
        <v>436</v>
      </c>
      <c r="B489" s="123">
        <f>IF($I$85="x","PAINISSA",IF(AND($C$90="",$C$118=""),SUM($C$3,$I$2)-$C$120+IF($C$75="x",2)+$I$16-$B$10+$M$94+IF($C$77="x",2)-IF($C$78="x",4)-IF($I$78="x",1)-IF($C$79="x",4)+IF($C$80="x",1)-IF($I$77="x",2)-IF($I$90="x",2)+IF($I$83="x",2)-IF($C$75="x",4)-$C$112+IF(H487="x",1)+I487+$M$77+IF(H489="x",1)+IF(J489="x",1)+IF($M$76="x",2)+J487+IF($M$85="x",1)+IF($M$113="x",1)+IF($M$120="x",2)+IF($M$119="x",2)+IF($M$105="x",1)+IF($M$110="x",1)+IF($M$111="x",2)+IF($M$112="x",4)+IF($M$108="x",1)-IF($M$109="x",1)-IF($M$99="x",1)+IF($M$90="x",1)-IF($C$97="x",2,8),
IF(AND($C$90="x",$C$118=""),SUM($C$3,$I$2)-$C$120+IF($C$75="x",2)+$I$16-$B$10+$M$94+IF($C$77="x",2)-IF($C$78="x",4)-IF($I$78="x",1)-IF($C$79="x",4)+IF($C$80="x",1)-IF($I$77="x",2)-IF($I$90="x",2)+IF($I$83="x",2)-IF($C$83="x",4)-$C$112+IF(H487="x",1)+I487+$M$77+IF(H489="x",1)+IF(J489="x",1)+IF($M$76="x",2)+J487+IF($M$85="x",1)+IF($M$113="x",1)+IF($M$120="x",2)+IF($M$119="x",2)+IF($M$105="x",1)+IF($M$110="x",1)+IF($M$111="x",2)+IF($M$112="x",4)+IF($M$108="x",1)-IF($M$109="x",1)-IF($M$99="x",1)+IF($M$90="x",1)-IF($C$97="x",2,8)
&amp;"/"&amp;SUM($C$3,$I$2)-$C$120+IF($C$75="x",2)+$I$16-$B$10+$M$94+IF($C$77="x",2)-IF($C$78="x",4)-IF($I$78="x",1)-IF($C$79="x",4)+IF($C$80="x",1)-IF($I$77="x",2)-IF($I$90="x",2)+IF($I$83="x",2)-IF($C$83="x",4)-$C$112+IF(H487="x",1)+I487+$M$77+IF(H489="x",1)+IF(J489="x",1)+IF($M$76="x",2)+J487+IF($M$85="x",1)+IF($M$113="x",1)+IF($M$120="x",2)+IF($M$119="x",2)+IF($M$105="x",1)+IF($M$110="x",1)+IF($M$111="x",2)+IF($M$112="x",4)+IF($M$108="x",1)-IF($M$109="x",1)-IF($M$99="x",1)+IF($M$90="x",1)-IF($C$97="x",2,8)-5,
IF(AND($C$90="x",$C$118="x"),SUM($C$3,$I$2)-$C$120+IF($C$75="x",2)+$I$16-$B$10+$M$94+IF($C$77="x",2)-IF($C$78="x",4)-IF($I$78="x",1)-IF($C$79="x",4)+IF($C$80="x",1)-IF($I$77="x",2)-IF($I$90="x",2)+IF($I$83="x",2)-IF($C$83="x",4)-$C$112+IF(H487="x",1)+I487+$M$77+IF(H489="x",1)+IF(J489="x",1)+IF($M$76="x",2)+J487+IF($M$85="x",1)+IF($M$113="x",1)+IF($M$120="x",2)+IF($M$119="x",2)+IF($M$105="x",1)+IF($M$110="x",1)+IF($M$111="x",2)+IF($M$112="x",4)+IF($M$108="x",1)-IF($M$109="x",1)+IF($M$99="x",20)-IF($M$99="x",1)+IF($M$90="x",1)-IF($C$97="x",2,8)
&amp;"/"&amp;SUM($C$3,$I$2)-$C$120+IF($C$75="x",2)+$I$16-$B$10+$M$94+IF($C$77="x",2)-IF($C$78="x",4)-IF($I$78="x",1)-IF($C$79="x",4)+IF($C$80="x",1)-IF($I$77="x",2)-IF($I$90="x",2)+IF($I$83="x",2)-IF($C$83="x",4)-$C$112-5+IF(H487="x",1)+I487+$M$77+IF(H489="x",1)+IF(J489="x",1)+IF($M$76="x",2)+J487+IF($M$85="x",1)+IF($M$113="x",1)+IF($M$120="x",2)+IF($M$119="x",2)+IF($M$105="x",1)+IF($M$110="x",1)+IF($M$111="x",2)+IF($M$112="x",4)+IF($M$108="x",1)-IF($M$109="x",1)-IF($M$99="x",1)+IF($M$90="x",1)-IF($C$97="x",4,10)
&amp;"/"&amp;SUM($C$3,$I$2)-$C$120+IF($C$75="x",2)+$I$16-$B$10+$M$94+IF($C$77="x",2)-IF($C$78="x",4)-IF($I$78="x",1)-IF($C$79="x",4)+IF($C$80="x",1)-IF($I$77="x",2)-IF($I$90="x",2)+IF($I$83="x",2)-IF($C$83="x",4)-$C$112-10+IF(H487="x",1)+I487+$M$77+IF(H489="x",1)+IF(J489="x",1)+IF($M$76="x",2)+J487+IF($M$85="x",1)+IF($M$113="x",1)+IF($M$120="x",2)+IF($M$119="x",2)+IF($M$105="x",1)+IF($M$110="x",1)+IF($M$111="x",2)+IF($M$112="x",4)+IF($M$108="x",1)-IF($M$109="x",1)-IF($M$99="x",1)+IF($M$90="x",1)-IF($C$97="x",2,8)))))</f>
        <v>-8</v>
      </c>
      <c r="C489" s="54" t="str">
        <f>_xlfn.IFS($C$7="Minimaalinen","1",$C$7="Taskukokoinen","1n2",$C$7="Hyvin pieni","1n3",$C$7="Pieni","1n4",$C$7="Keskikokoinen","1n6",$C$7="Iso","1n8",$C$7="Valtava","2n6",$C$7="Suunnaton","3n6",$C$7="Giganttinen","4n6")</f>
        <v>1n6</v>
      </c>
      <c r="D489" s="123">
        <f>INT($I$2/2)+($C$120)+I487+$M$77+IF(I489="x",2)+IF(K489="x",2)+IF($M$119="x",2)+IF($M$108="x",1)+$M$94-IF($M$109="x",1)+K487</f>
        <v>0</v>
      </c>
      <c r="E489" s="54" t="str">
        <f>_xlfn.IFS($C$7="Minimaalinen","2",$C$7="Taskukokoinen","2n2",$C$7="Hyvin pieni","2n3",$C$7="Pieni","2n4",$C$7="Keskikokoinen","2n6",$C$7="Iso","2n8",$C$7="Valtava","4n6",$C$7="Suunnaton","6n6",$C$7="Giganttinen","8n6")</f>
        <v>2n6</v>
      </c>
      <c r="F489" s="124">
        <f>SUM(D489*2)</f>
        <v>0</v>
      </c>
      <c r="G489" s="123" t="str">
        <f>(IF($I$89="x","50 %","")&amp;(IF($C$81="x","20 %",""))&amp;(IF($C$82="x","50 %","")))</f>
        <v/>
      </c>
      <c r="H489" s="28"/>
      <c r="I489" s="28"/>
      <c r="J489" s="28"/>
      <c r="K489" s="28"/>
    </row>
    <row r="490" spans="1:38" x14ac:dyDescent="0.2">
      <c r="A490" s="52"/>
      <c r="B490" s="53"/>
      <c r="C490" s="54"/>
      <c r="D490" s="53"/>
      <c r="E490" s="54"/>
      <c r="F490" s="54"/>
      <c r="G490" s="54"/>
      <c r="H490" s="49"/>
      <c r="I490" s="40"/>
      <c r="J490" s="45"/>
      <c r="K490" s="49"/>
      <c r="AB490" s="46"/>
      <c r="AC490" s="29"/>
      <c r="AD490" s="40"/>
      <c r="AE490" s="40"/>
      <c r="AG490" s="48"/>
      <c r="AH490" s="40"/>
      <c r="AI490" s="40"/>
      <c r="AJ490" s="40"/>
    </row>
    <row r="491" spans="1:38" x14ac:dyDescent="0.2">
      <c r="B491" s="15"/>
      <c r="C491" s="15"/>
      <c r="D491" s="15"/>
      <c r="F491" s="15"/>
      <c r="G491" s="15"/>
      <c r="H491" s="15"/>
      <c r="I491" s="15"/>
      <c r="AB491" s="46"/>
      <c r="AC491" s="48"/>
      <c r="AD491" s="48"/>
      <c r="AE491" s="48"/>
      <c r="AF491" s="48"/>
      <c r="AG491" s="48"/>
      <c r="AH491" s="48"/>
      <c r="AI491" s="48"/>
      <c r="AJ491" s="48"/>
      <c r="AK491" s="48"/>
      <c r="AL491" s="48"/>
    </row>
    <row r="492" spans="1:38" x14ac:dyDescent="0.2">
      <c r="A492" s="34" t="s">
        <v>286</v>
      </c>
      <c r="B492" s="11" t="s">
        <v>1</v>
      </c>
      <c r="C492" s="11" t="s">
        <v>2</v>
      </c>
      <c r="D492" s="11" t="s">
        <v>3</v>
      </c>
      <c r="E492" s="11" t="s">
        <v>229</v>
      </c>
      <c r="F492" s="11" t="s">
        <v>3</v>
      </c>
      <c r="G492" s="11" t="s">
        <v>45</v>
      </c>
      <c r="H492" s="14" t="s">
        <v>179</v>
      </c>
      <c r="I492" s="130" t="s">
        <v>242</v>
      </c>
      <c r="J492" s="130" t="s">
        <v>224</v>
      </c>
      <c r="K492" s="130" t="s">
        <v>225</v>
      </c>
      <c r="AB492" s="47"/>
      <c r="AC492" s="113"/>
      <c r="AD492" s="114"/>
      <c r="AE492" s="113"/>
      <c r="AF492" s="114"/>
      <c r="AG492" s="114"/>
      <c r="AH492" s="114"/>
      <c r="AI492" s="40"/>
      <c r="AJ492" s="40"/>
      <c r="AK492" s="40"/>
      <c r="AL492" s="40"/>
    </row>
    <row r="493" spans="1:38" x14ac:dyDescent="0.2">
      <c r="A493" s="15" t="s">
        <v>219</v>
      </c>
      <c r="B493" s="18">
        <f>_xlfn.IFS($C$3&lt;6,$C$3+IF($C$87="x",$I$3,$I$2)-$C$120+IF($C$75="x",2)+$I$16-$B$10+$M$94+IF($C$77="x",2)-IF($C$78="x",4)-IF($I$78="x",1)-IF($C$79="x",4)+IF($C$80="x",1)-IF($I$77="x",2)-IF($I$90="x",2)+IF($I$83="x",2)-IF($C$75="x",4)-$C$112+IF(H493="x",1)+I493+$M$77+IF(H495="x",1)+IF(J495="x",1)+IF($M$76="x",2)+J493+IF($M$85="x",1)+IF($M$113="x",1)+IF($M$120="x",2)+IF($M$119="x",2)+IF($M$105="x",1)+IF($M$110="x",1)+IF($M$111="x",2)+IF($M$112="x",4)+IF($M$108="x",1)-IF($M$109="x",1)-IF($M$99="x",1)+IF($M$90="x",1)-IF($I$85="x",4),
$C$3&lt;11,$C$3+IF($C$87="x",$I$3,$I$2)-$C$120+IF($C$75="x",2)+$I$16-$B$10+$M$94+IF($C$77="x",2)-IF($C$78="x",4)-IF($I$78="x",1)-IF($C$79="x",4)+IF($C$80="x",1)-IF($I$77="x",2)-IF($I$90="x",2)+IF($I$83="x",2)-IF($C$83="x",4)-$C$112+IF(H493="x",1)+I493+$M$77+IF(H495="x",1)+IF(J495="x",1)+IF($M$76="x",2)+J493+IF($M$85="x",1)+IF($M$113="x",1)+IF($M$120="x",2)+IF($M$119="x",2)+IF($M$105="x",1)+IF($M$110="x",1)+IF($M$111="x",2)+IF($M$112="x",4)+IF($M$108="x",1)-IF($M$109="x",1)-IF($M$99="x",1)+IF($M$90="x",1)-IF($I$85="x",4)
&amp;"/"&amp;$C$3+IF($C$87="x",$I$3,$I$2)-$C$120+IF($C$75="x",2)+$I$16-$B$10+$M$94+IF($C$77="x",2)-IF($C$78="x",4)-IF($I$78="x",1)-IF($C$79="x",4)+IF($C$80="x",1)-IF($I$77="x",2)-IF($I$90="x",2)+IF($I$83="x",2)-IF($C$83="x",4)-$C$112-5+IF(H493="x",1)+I493+$M$77+IF(H495="x",1)+IF(J495="x",1)+IF($M$76="x",2)+J493+IF($M$85="x",1)+IF($M$113="x",1)+IF($M$120="x",2)+IF($M$119="x",2)+IF($M$105="x",1)+IF($M$110="x",1)+IF($M$111="x",2)+IF($M$112="x",4)+IF($M$108="x",1)-IF($M$109="x",1)-IF($M$99="x",1)+IF($M$90="x",1)-IF($I$85="x",4),
$C$3&lt;16,$C$3+IF($C$87="x",$I$3,$I$2)-$C$120+IF($C$75="x",2)+$I$16-$B$10+$M$94+IF($C$77="x",2)-IF($C$78="x",4)-IF($I$78="x",1)-IF($C$79="x",4)+IF($C$80="x",1)-IF($I$77="x",2)-IF($I$90="x",2)+IF($I$83="x",2)-IF($C$83="x",4)-$C$112+IF(H493="x",1)+I493+$M$77+IF(H495="x",1)+IF(J495="x",1)+IF($M$76="x",2)+J493+IF($M$85="x",1)+IF($M$113="x",1)+IF($M$120="x",2)+IF($M$119="x",2)+IF($M$105="x",1)+IF($M$110="x",1)+IF($M$111="x",2)+IF($M$112="x",4)+IF($M$108="x",1)-IF($M$109="x",1)+IF($M$99="x",20)-IF($M$99="x",1)+IF($M$90="x",1)-IF($I$85="x",4)
&amp;"/"&amp;$C$3+IF($C$87="x",$I$3,$I$2)-$C$120+IF($C$75="x",2)+$I$16-$B$10+$M$94+IF($C$77="x",2)-IF($C$78="x",4)-IF($I$78="x",1)-IF($C$79="x",4)+IF($C$80="x",1)-IF($I$77="x",2)-IF($I$90="x",2)+IF($I$83="x",2)-IF($C$83="x",4)-$C$112-5+IF(H493="x",1)+I493+$M$77+IF(H495="x",1)+IF(J495="x",1)+IF($M$76="x",2)+J493+IF($M$85="x",1)+IF($M$113="x",1)+IF($M$120="x",2)+IF($M$119="x",2)+IF($M$105="x",1)+IF($M$110="x",1)+IF($M$111="x",2)+IF($M$112="x",4)+IF($M$108="x",1)-IF($M$109="x",1)-IF($M$99="x",1)+IF($M$90="x",1)-IF($I$85="x",4)
&amp;"/"&amp;$C$3+IF($C$87="x",$I$3,$I$2)-$C$120+IF($C$75="x",2)+$I$16-$B$10+$M$94+IF($C$77="x",2)-IF($C$78="x",4)-IF($I$78="x",1)-IF($C$79="x",4)+IF($C$80="x",1)-IF($I$77="x",2)-IF($I$90="x",2)+IF($I$83="x",2)-IF($C$83="x",4)-$C$112-10+IF(H493="x",1)+I493+$M$77+IF(H495="x",1)+IF(J495="x",1)+IF($M$76="x",2)+J493+IF($M$85="x",1)+IF($M$113="x",1)+IF($M$120="x",2)+IF($M$119="x",2)+IF($M$105="x",1)+IF($M$110="x",1)+IF($M$111="x",2)+IF($M$112="x",4)+IF($M$108="x",1)-IF($M$109="x",1)-IF($M$99="x",1)+IF($M$90="x",1)-IF($I$85="x",4),
$C$3&gt;15,$C$3+IF($C$87="x",$I$3,$I$2)-$C$120+IF($C$75="x",2)+$I$16-$B$10+$M$94+IF($C$77="x",2)-IF($C$78="x",4)-IF($I$78="x",1)-IF($C$79="x",4)+IF($C$80="x",1)-IF($I$77="x",2)-IF($I$90="x",2)+IF($I$83="x",2)-IF($C$83="x",4)-$C$112+IF(H493="x",1)+I493+$M$77+IF(H495="x",1)+IF(J495="x",1)+IF($M$76="x",2)+J493+IF($M$85="x",1)+IF($M$113="x",1)+IF($M$120="x",2)+IF($M$119="x",2)+IF($M$105="x",1)+IF($M$110="x",1)+IF($M$111="x",2)+IF($M$112="x",4)+IF($M$108="x",1)-IF($M$109="x",1)-IF($M$99="x",1)+IF($M$90="x",1)-IF($I$85="x",4)
&amp;"/"&amp;$C$3+IF($C$87="x",$I$3,$I$2)-$C$120+IF($C$75="x",2)+$I$16-$B$10+$M$94+IF($C$77="x",2)-IF($C$78="x",4)-IF($I$78="x",1)-IF($C$79="x",4)+IF($C$80="x",1)-IF($I$77="x",2)-IF($I$90="x",2)+IF($I$83="x",2)-IF($C$83="x",4)-$C$112-5+IF(H493="x",1)+I493+$M$77+IF(H495="x",1)+IF(J495="x",1)+IF($M$76="x",2)+J493+IF($M$85="x",1)+IF($M$113="x",1)+IF($M$120="x",2)+IF($M$119="x",2)+IF($M$105="x",1)+IF($M$110="x",1)+IF($M$111="x",2)+IF($M$112="x",4)+IF($M$108="x",1)-IF($M$109="x",1)-IF($M$99="x",1)+IF($M$90="x",1)-IF($I$85="x",4)
&amp;"/"&amp;$C$3+IF($C$87="x",$I$3,$I$2)-$C$120+IF($C$75="x",2)+$I$16-$B$10+$M$94+IF($C$77="x",2)-IF($C$78="x",4)-IF($I$78="x",1)-IF($C$79="x",4)+IF($C$80="x",1)-IF($I$77="x",2)-IF($I$90="x",2)+IF($I$83="x",2)-IF($C$83="x",4)-$C$112-10+IF(H493="x",1)+I493+$M$77+IF(H495="x",1)+IF(J495="x",1)+IF($M$76="x",2)+J493+IF($M$85="x",1)+IF($M$113="x",1)+IF($M$120="x",2)+IF($M$119="x",2)+IF($M$105="x",1)+IF($M$110="x",1)+IF($M$111="x",2)+IF($M$112="x",4)+IF($M$108="x",1)-IF($M$109="x",1)-IF($M$99="x",1)+IF($M$90="x",1)-IF($I$85="x",4)
&amp;"/"&amp;$C$3+IF($C$87="x",$I$3,$I$2)-$C$120+IF($C$75="x",2)+$I$16-$B$10+$M$94+IF($C$77="x",2)-IF($C$78="x",4)-IF($I$78="x",1)-IF($C$79="x",4)+IF($C$80="x",1)-IF($I$77="x",2)-IF($I$90="x",2)+IF($I$83="x",2)-IF($C$83="x",4)-$C$112-15+IF(H493="x",1)+I493+$M$77+IF(H495="x",1)+IF(J495="x",1)+IF($M$76="x",2)+J493+IF($M$85="x",1)+IF($M$113="x",1)+IF($M$120="x",2)+IF($M$119="x",2)+IF($M$105="x",1)+IF($M$110="x",1)+IF($M$111="x",2)+IF($M$112="x",4)+IF($M$108="x",1)-IF($M$109="x",1)-IF($M$99="x",1)+IF($M$90="x",1)-IF($I$85="x",4))</f>
        <v>0</v>
      </c>
      <c r="C493" s="40" t="str">
        <f>_xlfn.IFS($C$7="Minimaalinen","–",$C$7="Taskukokoinen","–",$C$7="Hyvin pieni","1",$C$7="Pieni","1n2",$C$7="Keskikokoinen","1n3",$C$7="Iso","1n4",$C$7="Valtava","1n6",$C$7="Suunnaton","1n8",$C$7="Giganttinen","2n6")</f>
        <v>1n3</v>
      </c>
      <c r="D493" s="18">
        <f>SUM($I$2+$C$120)+I493+$M$77+IF(I495="x",2)+IF(K495="x",2)+IF($M$119="x",2)+IF($M$108="x",1)+$M$94-IF($M$109="x",1)+K493</f>
        <v>0</v>
      </c>
      <c r="E493" s="40" t="str">
        <f>_xlfn.IFS($C$7="Minimaalinen","–",$C$7="Taskukokoinen","–",$C$7="Hyvin pieni","2",$C$7="Pieni","2n2",$C$7="Keskikokoinen","2n3",$C$7="Iso","2n4",$C$7="Valtava","2n6",$C$7="Suunnaton","2n8",$C$7="Giganttinen","4n6")</f>
        <v>2n3</v>
      </c>
      <c r="F493" s="12">
        <f>SUM(D493*2)</f>
        <v>0</v>
      </c>
      <c r="G493" s="12" t="str">
        <f>(IF($I$89="x","50 %","")&amp;(IF($C$81="x","20 %",""))&amp;(IF($C$82="x","50 %",""&amp;IF($M$91="x","50 % (5 j 20 %)",""&amp;IF($M$115="x","50 % (5 j 20 %)","")))))</f>
        <v/>
      </c>
      <c r="H493" s="28"/>
      <c r="I493" s="17">
        <v>0</v>
      </c>
      <c r="J493" s="17">
        <v>0</v>
      </c>
      <c r="K493" s="17">
        <v>0</v>
      </c>
      <c r="AB493" s="50"/>
      <c r="AC493" s="51"/>
      <c r="AD493" s="49"/>
      <c r="AE493" s="51"/>
      <c r="AF493" s="49"/>
      <c r="AG493" s="49"/>
      <c r="AH493" s="49"/>
      <c r="AI493" s="48"/>
      <c r="AJ493" s="48"/>
      <c r="AK493" s="48"/>
      <c r="AL493" s="48"/>
    </row>
    <row r="494" spans="1:38" x14ac:dyDescent="0.2">
      <c r="A494" s="25" t="s">
        <v>435</v>
      </c>
      <c r="B494" s="121">
        <f>_xlfn.IFS($C$3&lt;6,$C$3+IF($C$87="x",$I$3,$I$2)-$C$120+IF($C$75="x",2)+$I$16-$B$10+$M$94+IF($C$77="x",2)-IF($C$78="x",4)-IF($I$78="x",1)-IF($C$79="x",4)+IF($C$80="x",1)-IF($I$77="x",2)-IF($I$90="x",2)+IF($I$83="x",2)-IF($C$75="x",4)-$C$112+IF(H493="x",1)+I493+$M$77+IF(H495="x",1)+IF(J495="x",1)+IF($M$76="x",2)+J493+IF($M$85="x",1)+IF($M$113="x",1)+IF($M$120="x",2)+IF($M$119="x",2)+IF($M$105="x",1)+IF($M$110="x",1)+IF($M$111="x",2)+IF($M$112="x",4)+IF($M$108="x",1)-IF($M$109="x",1)-IF($M$99="x",1)+IF($M$90="x",1)-IF($I$85="x",4)-IF($C$97="x",2,4),
$C$3&lt;11,$C$3+IF($C$87="x",$I$3,$I$2)-$C$120+IF($C$75="x",2)+$I$16-$B$10+$M$94+IF($C$77="x",2)-IF($C$78="x",4)-IF($I$78="x",1)-IF($C$79="x",4)+IF($C$80="x",1)-IF($I$77="x",2)-IF($I$90="x",2)+IF($I$83="x",2)-IF($C$83="x",4)-$C$112+IF(H493="x",1)+I493+$M$77+IF(H495="x",1)+IF(J495="x",1)+IF($M$76="x",2)+J493+IF($M$85="x",1)+IF($M$113="x",1)+IF($M$120="x",2)+IF($M$119="x",2)+IF($M$105="x",1)+IF($M$110="x",1)+IF($M$111="x",2)+IF($M$112="x",4)+IF($M$108="x",1)-IF($M$109="x",1)-IF($M$99="x",1)+IF($M$90="x",1)-IF($I$85="x",4)-IF($C$97="x",2,4)
&amp;"/"&amp;$C$3+IF($C$87="x",$I$3,$I$2)-$C$120+IF($C$75="x",2)+$I$16-$B$10+$M$94+IF($C$77="x",2)-IF($C$78="x",4)-IF($I$78="x",1)-IF($C$79="x",4)+IF($C$80="x",1)-IF($I$77="x",2)-IF($I$90="x",2)+IF($I$83="x",2)-IF($C$83="x",4)-$C$112-5+IF(H493="x",1)+I493+$M$77+IF(H495="x",1)+IF(J495="x",1)+IF($M$76="x",2)+J493+IF($M$85="x",1)+IF($M$113="x",1)+IF($M$120="x",2)+IF($M$119="x",2)+IF($M$105="x",1)+IF($M$110="x",1)+IF($M$111="x",2)+IF($M$112="x",4)+IF($M$108="x",1)-IF($M$109="x",1)-IF($M$99="x",1)+IF($M$90="x",1)-IF($I$85="x",4)-IF($C$97="x",2,4),
$C$3&lt;16,$C$3+IF($C$87="x",$I$3,$I$2)-$C$120+IF($C$75="x",2)+$I$16-$B$10+$M$94+IF($C$77="x",2)-IF($C$78="x",4)-IF($I$78="x",1)-IF($C$79="x",4)+IF($C$80="x",1)-IF($I$77="x",2)-IF($I$90="x",2)+IF($I$83="x",2)-IF($C$83="x",4)-$C$112+IF(H493="x",1)+I493+$M$77+IF(H495="x",1)+IF(J495="x",1)+IF($M$76="x",2)+J493+IF($M$85="x",1)+IF($M$113="x",1)+IF($M$120="x",2)+IF($M$119="x",2)+IF($M$105="x",1)+IF($M$110="x",1)+IF($M$111="x",2)+IF($M$112="x",4)+IF($M$108="x",1)-IF($M$109="x",1)+IF($M$99="x",20)-IF($M$99="x",1)+IF($M$90="x",1)-IF($I$85="x",4)-IF($C$97="x",2,4)
&amp;"/"&amp;$C$3+IF($C$87="x",$I$3,$I$2)-$C$120+IF($C$75="x",2)+$I$16-$B$10+$M$94+IF($C$77="x",2)-IF($C$78="x",4)-IF($I$78="x",1)-IF($C$79="x",4)+IF($C$80="x",1)-IF($I$77="x",2)-IF($I$90="x",2)+IF($I$83="x",2)-IF($C$83="x",4)-$C$112-5+IF(H493="x",1)+I493+$M$77+IF(H495="x",1)+IF(J495="x",1)+IF($M$76="x",2)+J493+IF($M$85="x",1)+IF($M$113="x",1)+IF($M$120="x",2)+IF($M$119="x",2)+IF($M$105="x",1)+IF($M$110="x",1)+IF($M$111="x",2)+IF($M$112="x",4)+IF($M$108="x",1)-IF($M$109="x",1)-IF($M$99="x",1)+IF($M$90="x",1)-IF($I$85="x",4)-IF($C$97="x",2,4)
&amp;"/"&amp;$C$3+IF($C$87="x",$I$3,$I$2)-$C$120+IF($C$75="x",2)+$I$16-$B$10+$M$94+IF($C$77="x",2)-IF($C$78="x",4)-IF($I$78="x",1)-IF($C$79="x",4)+IF($C$80="x",1)-IF($I$77="x",2)-IF($I$90="x",2)+IF($I$83="x",2)-IF($C$83="x",4)-$C$112-10+IF(H493="x",1)+I493+$M$77+IF(H495="x",1)+IF(J495="x",1)+IF($M$76="x",2)+J493+IF($M$85="x",1)+IF($M$113="x",1)+IF($M$120="x",2)+IF($M$119="x",2)+IF($M$105="x",1)+IF($M$110="x",1)+IF($M$111="x",2)+IF($M$112="x",4)+IF($M$108="x",1)-IF($M$109="x",1)-IF($M$99="x",1)+IF($M$90="x",1)-IF($I$85="x",4)-IF($C$97="x",2,4),
$C$3&gt;15,$C$3+IF($C$87="x",$I$3,$I$2)-$C$120+IF($C$75="x",2)+$I$16-$B$10+$M$94+IF($C$77="x",2)-IF($C$78="x",4)-IF($I$78="x",1)-IF($C$79="x",4)+IF($C$80="x",1)-IF($I$77="x",2)-IF($I$90="x",2)+IF($I$83="x",2)-IF($C$83="x",4)-$C$112+IF(H493="x",1)+I493+$M$77+IF(H495="x",1)+IF(J495="x",1)+IF($M$76="x",2)+J493+IF($M$85="x",1)+IF($M$113="x",1)+IF($M$120="x",2)+IF($M$119="x",2)+IF($M$105="x",1)+IF($M$110="x",1)+IF($M$111="x",2)+IF($M$112="x",4)+IF($M$108="x",1)-IF($M$109="x",1)-IF($M$99="x",1)+IF($M$90="x",1)-IF($I$85="x",4)-IF($C$97="x",2,4)
&amp;"/"&amp;$C$3+IF($C$87="x",$I$3,$I$2)-$C$120+IF($C$75="x",2)+$I$16-$B$10+$M$94+IF($C$77="x",2)-IF($C$78="x",4)-IF($I$78="x",1)-IF($C$79="x",4)+IF($C$80="x",1)-IF($I$77="x",2)-IF($I$90="x",2)+IF($I$83="x",2)-IF($C$83="x",4)-$C$112-5+IF(H493="x",1)+I493+$M$77+IF(H495="x",1)+IF(J495="x",1)+IF($M$76="x",2)+J493+IF($M$85="x",1)+IF($M$113="x",1)+IF($M$120="x",2)+IF($M$119="x",2)+IF($M$105="x",1)+IF($M$110="x",1)+IF($M$111="x",2)+IF($M$112="x",4)+IF($M$108="x",1)-IF($M$109="x",1)-IF($M$99="x",1)+IF($M$90="x",1)-IF($I$85="x",4)-IF($C$97="x",2,4)
&amp;"/"&amp;$C$3+IF($C$87="x",$I$3,$I$2)-$C$120+IF($C$75="x",2)+$I$16-$B$10+$M$94+IF($C$77="x",2)-IF($C$78="x",4)-IF($I$78="x",1)-IF($C$79="x",4)+IF($C$80="x",1)-IF($I$77="x",2)-IF($I$90="x",2)+IF($I$83="x",2)-IF($C$83="x",4)-$C$112-10+IF(H493="x",1)+I493+$M$77+IF(H495="x",1)+IF(J495="x",1)+IF($M$76="x",2)+J493+IF($M$85="x",1)+IF($M$113="x",1)+IF($M$120="x",2)+IF($M$119="x",2)+IF($M$105="x",1)+IF($M$110="x",1)+IF($M$111="x",2)+IF($M$112="x",4)+IF($M$108="x",1)-IF($M$109="x",1)-IF($M$99="x",1)+IF($M$90="x",1)-IF($I$85="x",4)-IF($C$97="x",2,4)
&amp;"/"&amp;$C$3+IF($C$87="x",$I$3,$I$2)-$C$120+IF($C$75="x",2)+$I$16-$B$10+$M$94+IF($C$77="x",2)-IF($C$78="x",4)-IF($I$78="x",1)-IF($C$79="x",4)+IF($C$80="x",1)-IF($I$77="x",2)-IF($I$90="x",2)+IF($I$83="x",2)-IF($C$83="x",4)-$C$112-15+IF(H493="x",1)+I493+$M$77+IF(H495="x",1)+IF(J495="x",1)+IF($M$76="x",2)+J493+IF($M$85="x",1)+IF($M$113="x",1)+IF($M$120="x",2)+IF($M$119="x",2)+IF($M$105="x",1)+IF($M$110="x",1)+IF($M$111="x",2)+IF($M$112="x",4)+IF($M$108="x",1)-IF($M$109="x",1)-IF($M$99="x",1)+IF($M$90="x",1)-IF($I$85="x",4)-IF($C$97="x",2,4))</f>
        <v>-4</v>
      </c>
      <c r="C494" s="40" t="str">
        <f>_xlfn.IFS($C$7="Minimaalinen","–",$C$7="Taskukokoinen","–",$C$7="Hyvin pieni","1",$C$7="Pieni","1n2",$C$7="Keskikokoinen","1n3",$C$7="Iso","1n4",$C$7="Valtava","1n6",$C$7="Suunnaton","1n8",$C$7="Giganttinen","2n6")</f>
        <v>1n3</v>
      </c>
      <c r="D494" s="121">
        <f>SUM($I$2+$C$120)+I493+$M$77+IF(I495="x",2)+IF(K495="x",2)+IF($M$119="x",2)+IF($M$108="x",1)+$M$94-IF($M$109="x",1)+K493</f>
        <v>0</v>
      </c>
      <c r="E494" s="40" t="str">
        <f>_xlfn.IFS($C$7="Minimaalinen","–",$C$7="Taskukokoinen","–",$C$7="Hyvin pieni","2",$C$7="Pieni","2n2",$C$7="Keskikokoinen","2n3",$C$7="Iso","2n4",$C$7="Valtava","2n6",$C$7="Suunnaton","2n8",$C$7="Giganttinen","4n6")</f>
        <v>2n3</v>
      </c>
      <c r="F494" s="82">
        <f>SUM(D494*2)</f>
        <v>0</v>
      </c>
      <c r="G494" s="82" t="str">
        <f>(IF($I$89="x","50 %","")&amp;(IF($C$81="x","20 %",""))&amp;(IF($C$82="x","50 %","")))</f>
        <v/>
      </c>
      <c r="H494" s="14" t="s">
        <v>220</v>
      </c>
      <c r="I494" s="14" t="s">
        <v>221</v>
      </c>
      <c r="J494" s="14" t="s">
        <v>222</v>
      </c>
      <c r="K494" s="14" t="s">
        <v>223</v>
      </c>
      <c r="AB494" s="52"/>
      <c r="AC494" s="53"/>
      <c r="AD494" s="54"/>
      <c r="AE494" s="53"/>
      <c r="AF494" s="54"/>
      <c r="AG494" s="54"/>
      <c r="AH494" s="54"/>
      <c r="AI494" s="114"/>
      <c r="AJ494" s="114"/>
      <c r="AK494" s="114"/>
      <c r="AL494" s="114"/>
    </row>
    <row r="495" spans="1:38" x14ac:dyDescent="0.2">
      <c r="A495" s="122" t="s">
        <v>436</v>
      </c>
      <c r="B495" s="123">
        <f>IF($I$85="x","PAINISSA",IF(AND($C$90="",$C$118=""),SUM($C$3,$I$2)-$C$120+IF($C$75="x",2)+$I$16-$B$10+$M$94+IF($C$77="x",2)-IF($C$78="x",4)-IF($I$78="x",1)-IF($C$79="x",4)+IF($C$80="x",1)-IF($I$77="x",2)-IF($I$90="x",2)+IF($I$83="x",2)-IF($C$75="x",4)-$C$112+IF(H493="x",1)+I493+$M$77+IF(H495="x",1)+IF(J495="x",1)+IF($M$76="x",2)+J493+IF($M$85="x",1)+IF($M$113="x",1)+IF($M$120="x",2)+IF($M$119="x",2)+IF($M$105="x",1)+IF($M$110="x",1)+IF($M$111="x",2)+IF($M$112="x",4)+IF($M$108="x",1)-IF($M$109="x",1)-IF($M$99="x",1)+IF($M$90="x",1)-IF($C$97="x",2,8),
IF(AND($C$90="x",$C$118=""),SUM($C$3,$I$2)-$C$120+IF($C$75="x",2)+$I$16-$B$10+$M$94+IF($C$77="x",2)-IF($C$78="x",4)-IF($I$78="x",1)-IF($C$79="x",4)+IF($C$80="x",1)-IF($I$77="x",2)-IF($I$90="x",2)+IF($I$83="x",2)-IF($C$83="x",4)-$C$112+IF(H493="x",1)+I493+$M$77+IF(H495="x",1)+IF(J495="x",1)+IF($M$76="x",2)+J493+IF($M$85="x",1)+IF($M$113="x",1)+IF($M$120="x",2)+IF($M$119="x",2)+IF($M$105="x",1)+IF($M$110="x",1)+IF($M$111="x",2)+IF($M$112="x",4)+IF($M$108="x",1)-IF($M$109="x",1)-IF($M$99="x",1)+IF($M$90="x",1)-IF($C$97="x",2,8)
&amp;"/"&amp;SUM($C$3,$I$2)-$C$120+IF($C$75="x",2)+$I$16-$B$10+$M$94+IF($C$77="x",2)-IF($C$78="x",4)-IF($I$78="x",1)-IF($C$79="x",4)+IF($C$80="x",1)-IF($I$77="x",2)-IF($I$90="x",2)+IF($I$83="x",2)-IF($C$83="x",4)-$C$112+IF(H493="x",1)+I493+$M$77+IF(H495="x",1)+IF(J495="x",1)+IF($M$76="x",2)+J493+IF($M$85="x",1)+IF($M$113="x",1)+IF($M$120="x",2)+IF($M$119="x",2)+IF($M$105="x",1)+IF($M$110="x",1)+IF($M$111="x",2)+IF($M$112="x",4)+IF($M$108="x",1)-IF($M$109="x",1)-IF($M$99="x",1)+IF($M$90="x",1)-IF($C$97="x",2,8)-5,
IF(AND($C$90="x",$C$118="x"),SUM($C$3,$I$2)-$C$120+IF($C$75="x",2)+$I$16-$B$10+$M$94+IF($C$77="x",2)-IF($C$78="x",4)-IF($I$78="x",1)-IF($C$79="x",4)+IF($C$80="x",1)-IF($I$77="x",2)-IF($I$90="x",2)+IF($I$83="x",2)-IF($C$83="x",4)-$C$112+IF(H493="x",1)+I493+$M$77+IF(H495="x",1)+IF(J495="x",1)+IF($M$76="x",2)+J493+IF($M$85="x",1)+IF($M$113="x",1)+IF($M$120="x",2)+IF($M$119="x",2)+IF($M$105="x",1)+IF($M$110="x",1)+IF($M$111="x",2)+IF($M$112="x",4)+IF($M$108="x",1)-IF($M$109="x",1)+IF($M$99="x",20)-IF($M$99="x",1)+IF($M$90="x",1)-IF($C$97="x",2,8)
&amp;"/"&amp;SUM($C$3,$I$2)-$C$120+IF($C$75="x",2)+$I$16-$B$10+$M$94+IF($C$77="x",2)-IF($C$78="x",4)-IF($I$78="x",1)-IF($C$79="x",4)+IF($C$80="x",1)-IF($I$77="x",2)-IF($I$90="x",2)+IF($I$83="x",2)-IF($C$83="x",4)-$C$112-5+IF(H493="x",1)+I493+$M$77+IF(H495="x",1)+IF(J495="x",1)+IF($M$76="x",2)+J493+IF($M$85="x",1)+IF($M$113="x",1)+IF($M$120="x",2)+IF($M$119="x",2)+IF($M$105="x",1)+IF($M$110="x",1)+IF($M$111="x",2)+IF($M$112="x",4)+IF($M$108="x",1)-IF($M$109="x",1)-IF($M$99="x",1)+IF($M$90="x",1)-IF($C$97="x",4,10)
&amp;"/"&amp;SUM($C$3,$I$2)-$C$120+IF($C$75="x",2)+$I$16-$B$10+$M$94+IF($C$77="x",2)-IF($C$78="x",4)-IF($I$78="x",1)-IF($C$79="x",4)+IF($C$80="x",1)-IF($I$77="x",2)-IF($I$90="x",2)+IF($I$83="x",2)-IF($C$83="x",4)-$C$112-10+IF(H493="x",1)+I493+$M$77+IF(H495="x",1)+IF(J495="x",1)+IF($M$76="x",2)+J493+IF($M$85="x",1)+IF($M$113="x",1)+IF($M$120="x",2)+IF($M$119="x",2)+IF($M$105="x",1)+IF($M$110="x",1)+IF($M$111="x",2)+IF($M$112="x",4)+IF($M$108="x",1)-IF($M$109="x",1)-IF($M$99="x",1)+IF($M$90="x",1)-IF($C$97="x",2,8)))))</f>
        <v>-8</v>
      </c>
      <c r="C495" s="54" t="str">
        <f>_xlfn.IFS($C$7="Minimaalinen","–",$C$7="Taskukokoinen","–",$C$7="Hyvin pieni","1",$C$7="Pieni","1n2",$C$7="Keskikokoinen","1n3",$C$7="Iso","1n4",$C$7="Valtava","1n6",$C$7="Suunnaton","1n8",$C$7="Giganttinen","2n6")</f>
        <v>1n3</v>
      </c>
      <c r="D495" s="123">
        <f>INT($I$2/2)+($C$120)+I493+$M$77+IF(I495="x",2)+IF(K495="x",2)+IF($M$119="x",2)+IF($M$108="x",1)+$M$94-IF($M$109="x",1)+K493</f>
        <v>0</v>
      </c>
      <c r="E495" s="54" t="str">
        <f>_xlfn.IFS($C$7="Minimaalinen","–",$C$7="Taskukokoinen","–",$C$7="Hyvin pieni","2",$C$7="Pieni","2n2",$C$7="Keskikokoinen","2n3",$C$7="Iso","2n4",$C$7="Valtava","2n6",$C$7="Suunnaton","2n8",$C$7="Giganttinen","4n6")</f>
        <v>2n3</v>
      </c>
      <c r="F495" s="124">
        <f>SUM(D495*2)</f>
        <v>0</v>
      </c>
      <c r="G495" s="123" t="str">
        <f>(IF($I$89="x","50 %","")&amp;(IF($C$81="x","20 %",""))&amp;(IF($C$82="x","50 %","")))</f>
        <v/>
      </c>
      <c r="H495" s="28"/>
      <c r="I495" s="28"/>
      <c r="J495" s="28"/>
      <c r="K495" s="28"/>
    </row>
    <row r="496" spans="1:38" x14ac:dyDescent="0.2">
      <c r="B496" s="15"/>
      <c r="C496" s="15"/>
      <c r="D496" s="15"/>
      <c r="F496" s="15"/>
      <c r="G496" s="15"/>
      <c r="H496" s="15"/>
      <c r="I496" s="15"/>
    </row>
    <row r="497" spans="1:38" x14ac:dyDescent="0.2">
      <c r="B497" s="15"/>
      <c r="C497" s="15"/>
      <c r="D497" s="15"/>
      <c r="F497" s="15"/>
      <c r="G497" s="15"/>
      <c r="H497" s="15"/>
      <c r="I497" s="15"/>
      <c r="AB497" s="46"/>
      <c r="AC497" s="48"/>
      <c r="AD497" s="48"/>
      <c r="AE497" s="48"/>
      <c r="AF497" s="48"/>
      <c r="AG497" s="48"/>
      <c r="AH497" s="48"/>
      <c r="AI497" s="48"/>
      <c r="AJ497" s="48"/>
      <c r="AK497" s="48"/>
      <c r="AL497" s="48"/>
    </row>
    <row r="498" spans="1:38" x14ac:dyDescent="0.2">
      <c r="A498" s="34" t="s">
        <v>284</v>
      </c>
      <c r="B498" s="11" t="s">
        <v>1</v>
      </c>
      <c r="C498" s="11" t="s">
        <v>2</v>
      </c>
      <c r="D498" s="11" t="s">
        <v>3</v>
      </c>
      <c r="E498" s="11" t="s">
        <v>229</v>
      </c>
      <c r="F498" s="11" t="s">
        <v>3</v>
      </c>
      <c r="G498" s="11" t="s">
        <v>45</v>
      </c>
      <c r="H498" s="14" t="s">
        <v>179</v>
      </c>
      <c r="I498" s="11" t="s">
        <v>242</v>
      </c>
      <c r="J498" s="11" t="s">
        <v>224</v>
      </c>
      <c r="K498" s="11" t="s">
        <v>225</v>
      </c>
      <c r="AB498" s="47"/>
      <c r="AC498" s="113"/>
      <c r="AD498" s="114"/>
      <c r="AE498" s="113"/>
      <c r="AF498" s="114"/>
      <c r="AG498" s="114"/>
      <c r="AH498" s="114"/>
      <c r="AI498" s="40"/>
      <c r="AJ498" s="40"/>
      <c r="AK498" s="40"/>
      <c r="AL498" s="40"/>
    </row>
    <row r="499" spans="1:38" x14ac:dyDescent="0.2">
      <c r="A499" s="15" t="s">
        <v>219</v>
      </c>
      <c r="B499" s="18">
        <f>_xlfn.IFS($C$3&lt;6,$C$3+IF($C$87="x",$I$3,$I$2)-$C$120+IF($C$75="x",2)+$I$16-$B$10+$M$94+IF($C$77="x",2)-IF($C$78="x",4)-IF($I$78="x",1)-IF($C$79="x",4)+IF($C$80="x",1)-IF($I$77="x",2)-IF($I$90="x",2)+IF($I$83="x",2)-IF($C$75="x",4)-$C$112+IF(H499="x",1)+I499+$M$77+IF(H501="x",1)+IF(J501="x",1)+IF($M$76="x",2)+J499+IF($M$85="x",1)+IF($M$113="x",1)+IF($M$120="x",2)+IF($M$119="x",2)+IF($M$105="x",1)+IF($M$110="x",1)+IF($M$111="x",2)+IF($M$112="x",4)+IF($M$108="x",1)-IF($M$109="x",1)-IF($M$99="x",1)+IF($M$90="x",1)-IF($I$85="x",4),
$C$3&lt;11,$C$3+IF($C$87="x",$I$3,$I$2)-$C$120+IF($C$75="x",2)+$I$16-$B$10+$M$94+IF($C$77="x",2)-IF($C$78="x",4)-IF($I$78="x",1)-IF($C$79="x",4)+IF($C$80="x",1)-IF($I$77="x",2)-IF($I$90="x",2)+IF($I$83="x",2)-IF($C$83="x",4)-$C$112+IF(H499="x",1)+I499+$M$77+IF(H501="x",1)+IF(J501="x",1)+IF($M$76="x",2)+J499+IF($M$85="x",1)+IF($M$113="x",1)+IF($M$120="x",2)+IF($M$119="x",2)+IF($M$105="x",1)+IF($M$110="x",1)+IF($M$111="x",2)+IF($M$112="x",4)+IF($M$108="x",1)-IF($M$109="x",1)-IF($M$99="x",1)+IF($M$90="x",1)-IF($I$85="x",4)
&amp;"/"&amp;$C$3+IF($C$87="x",$I$3,$I$2)-$C$120+IF($C$75="x",2)+$I$16-$B$10+$M$94+IF($C$77="x",2)-IF($C$78="x",4)-IF($I$78="x",1)-IF($C$79="x",4)+IF($C$80="x",1)-IF($I$77="x",2)-IF($I$90="x",2)+IF($I$83="x",2)-IF($C$83="x",4)-$C$112-5+IF(H499="x",1)+I499+$M$77+IF(H501="x",1)+IF(J501="x",1)+IF($M$76="x",2)+J499+IF($M$85="x",1)+IF($M$113="x",1)+IF($M$120="x",2)+IF($M$119="x",2)+IF($M$105="x",1)+IF($M$110="x",1)+IF($M$111="x",2)+IF($M$112="x",4)+IF($M$108="x",1)-IF($M$109="x",1)-IF($M$99="x",1)+IF($M$90="x",1)-IF($I$85="x",4),
$C$3&lt;16,$C$3+IF($C$87="x",$I$3,$I$2)-$C$120+IF($C$75="x",2)+$I$16-$B$10+$M$94+IF($C$77="x",2)-IF($C$78="x",4)-IF($I$78="x",1)-IF($C$79="x",4)+IF($C$80="x",1)-IF($I$77="x",2)-IF($I$90="x",2)+IF($I$83="x",2)-IF($C$83="x",4)-$C$112+IF(H499="x",1)+I499+$M$77+IF(H501="x",1)+IF(J501="x",1)+IF($M$76="x",2)+J499+IF($M$85="x",1)+IF($M$113="x",1)+IF($M$120="x",2)+IF($M$119="x",2)+IF($M$105="x",1)+IF($M$110="x",1)+IF($M$111="x",2)+IF($M$112="x",4)+IF($M$108="x",1)-IF($M$109="x",1)+IF($M$99="x",20)-IF($M$99="x",1)+IF($M$90="x",1)-IF($I$85="x",4)
&amp;"/"&amp;$C$3+IF($C$87="x",$I$3,$I$2)-$C$120+IF($C$75="x",2)+$I$16-$B$10+$M$94+IF($C$77="x",2)-IF($C$78="x",4)-IF($I$78="x",1)-IF($C$79="x",4)+IF($C$80="x",1)-IF($I$77="x",2)-IF($I$90="x",2)+IF($I$83="x",2)-IF($C$83="x",4)-$C$112-5+IF(H499="x",1)+I499+$M$77+IF(H501="x",1)+IF(J501="x",1)+IF($M$76="x",2)+J499+IF($M$85="x",1)+IF($M$113="x",1)+IF($M$120="x",2)+IF($M$119="x",2)+IF($M$105="x",1)+IF($M$110="x",1)+IF($M$111="x",2)+IF($M$112="x",4)+IF($M$108="x",1)-IF($M$109="x",1)-IF($M$99="x",1)+IF($M$90="x",1)-IF($I$85="x",4)
&amp;"/"&amp;$C$3+IF($C$87="x",$I$3,$I$2)-$C$120+IF($C$75="x",2)+$I$16-$B$10+$M$94+IF($C$77="x",2)-IF($C$78="x",4)-IF($I$78="x",1)-IF($C$79="x",4)+IF($C$80="x",1)-IF($I$77="x",2)-IF($I$90="x",2)+IF($I$83="x",2)-IF($C$83="x",4)-$C$112-10+IF(H499="x",1)+I499+$M$77+IF(H501="x",1)+IF(J501="x",1)+IF($M$76="x",2)+J499+IF($M$85="x",1)+IF($M$113="x",1)+IF($M$120="x",2)+IF($M$119="x",2)+IF($M$105="x",1)+IF($M$110="x",1)+IF($M$111="x",2)+IF($M$112="x",4)+IF($M$108="x",1)-IF($M$109="x",1)-IF($M$99="x",1)+IF($M$90="x",1)-IF($I$85="x",4),
$C$3&gt;15,$C$3+IF($C$87="x",$I$3,$I$2)-$C$120+IF($C$75="x",2)+$I$16-$B$10+$M$94+IF($C$77="x",2)-IF($C$78="x",4)-IF($I$78="x",1)-IF($C$79="x",4)+IF($C$80="x",1)-IF($I$77="x",2)-IF($I$90="x",2)+IF($I$83="x",2)-IF($C$83="x",4)-$C$112+IF(H499="x",1)+I499+$M$77+IF(H501="x",1)+IF(J501="x",1)+IF($M$76="x",2)+J499+IF($M$85="x",1)+IF($M$113="x",1)+IF($M$120="x",2)+IF($M$119="x",2)+IF($M$105="x",1)+IF($M$110="x",1)+IF($M$111="x",2)+IF($M$112="x",4)+IF($M$108="x",1)-IF($M$109="x",1)-IF($M$99="x",1)+IF($M$90="x",1)-IF($I$85="x",4)
&amp;"/"&amp;$C$3+IF($C$87="x",$I$3,$I$2)-$C$120+IF($C$75="x",2)+$I$16-$B$10+$M$94+IF($C$77="x",2)-IF($C$78="x",4)-IF($I$78="x",1)-IF($C$79="x",4)+IF($C$80="x",1)-IF($I$77="x",2)-IF($I$90="x",2)+IF($I$83="x",2)-IF($C$83="x",4)-$C$112-5+IF(H499="x",1)+I499+$M$77+IF(H501="x",1)+IF(J501="x",1)+IF($M$76="x",2)+J499+IF($M$85="x",1)+IF($M$113="x",1)+IF($M$120="x",2)+IF($M$119="x",2)+IF($M$105="x",1)+IF($M$110="x",1)+IF($M$111="x",2)+IF($M$112="x",4)+IF($M$108="x",1)-IF($M$109="x",1)-IF($M$99="x",1)+IF($M$90="x",1)-IF($I$85="x",4)
&amp;"/"&amp;$C$3+IF($C$87="x",$I$3,$I$2)-$C$120+IF($C$75="x",2)+$I$16-$B$10+$M$94+IF($C$77="x",2)-IF($C$78="x",4)-IF($I$78="x",1)-IF($C$79="x",4)+IF($C$80="x",1)-IF($I$77="x",2)-IF($I$90="x",2)+IF($I$83="x",2)-IF($C$83="x",4)-$C$112-10+IF(H499="x",1)+I499+$M$77+IF(H501="x",1)+IF(J501="x",1)+IF($M$76="x",2)+J499+IF($M$85="x",1)+IF($M$113="x",1)+IF($M$120="x",2)+IF($M$119="x",2)+IF($M$105="x",1)+IF($M$110="x",1)+IF($M$111="x",2)+IF($M$112="x",4)+IF($M$108="x",1)-IF($M$109="x",1)-IF($M$99="x",1)+IF($M$90="x",1)-IF($I$85="x",4)
&amp;"/"&amp;$C$3+IF($C$87="x",$I$3,$I$2)-$C$120+IF($C$75="x",2)+$I$16-$B$10+$M$94+IF($C$77="x",2)-IF($C$78="x",4)-IF($I$78="x",1)-IF($C$79="x",4)+IF($C$80="x",1)-IF($I$77="x",2)-IF($I$90="x",2)+IF($I$83="x",2)-IF($C$83="x",4)-$C$112-15+IF(H499="x",1)+I499+$M$77+IF(H501="x",1)+IF(J501="x",1)+IF($M$76="x",2)+J499+IF($M$85="x",1)+IF($M$113="x",1)+IF($M$120="x",2)+IF($M$119="x",2)+IF($M$105="x",1)+IF($M$110="x",1)+IF($M$111="x",2)+IF($M$112="x",4)+IF($M$108="x",1)-IF($M$109="x",1)-IF($M$99="x",1)+IF($M$90="x",1)-IF($I$85="x",4))</f>
        <v>0</v>
      </c>
      <c r="C499" s="49" t="str">
        <f>_xlfn.IFS($C$7="Minimaalinen","–",$C$7="Taskukokoinen","1",$C$7="Hyvin pieni","1n2",$C$7="Pieni","1n3",$C$7="Keskikokoinen","1n4",$C$7="Iso","1n6",$C$7="Valtava","1n8",$C$7="Suunnaton","2n6",$C$7="Giganttinen","3n6")</f>
        <v>1n4</v>
      </c>
      <c r="D499" s="18">
        <f>SUM($I$2+$C$120)+I499+$M$77+IF(I501="x",2)+IF(K501="x",2)+IF($M$119="x",2)+IF($M$108="x",1)+$M$94-IF($M$109="x",1)+K499</f>
        <v>0</v>
      </c>
      <c r="E499" s="49" t="str">
        <f>_xlfn.IFS($C$7="Minimaalinen","–",$C$7="Taskukokoinen","2",$C$7="Hyvin pieni","2n2",$C$7="Pieni","2n3",$C$7="Keskikokoinen","2n4",$C$7="Iso","2n6",$C$7="Valtava","2n8",$C$7="Suunnaton","4n6",$C$7="Giganttinen","6n6")</f>
        <v>2n4</v>
      </c>
      <c r="F499" s="12">
        <f>SUM(D499*2)</f>
        <v>0</v>
      </c>
      <c r="G499" s="12" t="str">
        <f>(IF($I$89="x","50 %","")&amp;(IF($C$81="x","20 %",""))&amp;(IF($C$82="x","50 %",""&amp;IF($M$91="x","50 % (5 j 20 %)",""&amp;IF($M$115="x","50 % (5 j 20 %)","")))))</f>
        <v/>
      </c>
      <c r="H499" s="28"/>
      <c r="I499" s="17">
        <v>0</v>
      </c>
      <c r="J499" s="17">
        <v>0</v>
      </c>
      <c r="K499" s="17">
        <v>0</v>
      </c>
      <c r="AB499" s="50"/>
      <c r="AC499" s="51"/>
      <c r="AD499" s="49"/>
      <c r="AE499" s="51"/>
      <c r="AF499" s="49"/>
      <c r="AG499" s="49"/>
      <c r="AH499" s="49"/>
      <c r="AI499" s="48"/>
      <c r="AJ499" s="48"/>
      <c r="AK499" s="48"/>
      <c r="AL499" s="48"/>
    </row>
    <row r="500" spans="1:38" x14ac:dyDescent="0.2">
      <c r="A500" s="25" t="s">
        <v>435</v>
      </c>
      <c r="B500" s="121">
        <f>_xlfn.IFS($C$3&lt;6,$C$3+IF($C$87="x",$I$3,$I$2)-$C$120+IF($C$75="x",2)+$I$16-$B$10+$M$94+IF($C$77="x",2)-IF($C$78="x",4)-IF($I$78="x",1)-IF($C$79="x",4)+IF($C$80="x",1)-IF($I$77="x",2)-IF($I$90="x",2)+IF($I$83="x",2)-IF($C$75="x",4)-$C$112+IF(H499="x",1)+I499+$M$77+IF(H501="x",1)+IF(J501="x",1)+IF($M$76="x",2)+J499+IF($M$85="x",1)+IF($M$113="x",1)+IF($M$120="x",2)+IF($M$119="x",2)+IF($M$105="x",1)+IF($M$110="x",1)+IF($M$111="x",2)+IF($M$112="x",4)+IF($M$108="x",1)-IF($M$109="x",1)-IF($M$99="x",1)+IF($M$90="x",1)-IF($I$85="x",4)-IF($C$97="x",2,4),
$C$3&lt;11,$C$3+IF($C$87="x",$I$3,$I$2)-$C$120+IF($C$75="x",2)+$I$16-$B$10+$M$94+IF($C$77="x",2)-IF($C$78="x",4)-IF($I$78="x",1)-IF($C$79="x",4)+IF($C$80="x",1)-IF($I$77="x",2)-IF($I$90="x",2)+IF($I$83="x",2)-IF($C$83="x",4)-$C$112+IF(H499="x",1)+I499+$M$77+IF(H501="x",1)+IF(J501="x",1)+IF($M$76="x",2)+J499+IF($M$85="x",1)+IF($M$113="x",1)+IF($M$120="x",2)+IF($M$119="x",2)+IF($M$105="x",1)+IF($M$110="x",1)+IF($M$111="x",2)+IF($M$112="x",4)+IF($M$108="x",1)-IF($M$109="x",1)-IF($M$99="x",1)+IF($M$90="x",1)-IF($I$85="x",4)-IF($C$97="x",2,4)
&amp;"/"&amp;$C$3+IF($C$87="x",$I$3,$I$2)-$C$120+IF($C$75="x",2)+$I$16-$B$10+$M$94+IF($C$77="x",2)-IF($C$78="x",4)-IF($I$78="x",1)-IF($C$79="x",4)+IF($C$80="x",1)-IF($I$77="x",2)-IF($I$90="x",2)+IF($I$83="x",2)-IF($C$83="x",4)-$C$112-5+IF(H499="x",1)+I499+$M$77+IF(H501="x",1)+IF(J501="x",1)+IF($M$76="x",2)+J499+IF($M$85="x",1)+IF($M$113="x",1)+IF($M$120="x",2)+IF($M$119="x",2)+IF($M$105="x",1)+IF($M$110="x",1)+IF($M$111="x",2)+IF($M$112="x",4)+IF($M$108="x",1)-IF($M$109="x",1)-IF($M$99="x",1)+IF($M$90="x",1)-IF($I$85="x",4)-IF($C$97="x",2,4),
$C$3&lt;16,$C$3+IF($C$87="x",$I$3,$I$2)-$C$120+IF($C$75="x",2)+$I$16-$B$10+$M$94+IF($C$77="x",2)-IF($C$78="x",4)-IF($I$78="x",1)-IF($C$79="x",4)+IF($C$80="x",1)-IF($I$77="x",2)-IF($I$90="x",2)+IF($I$83="x",2)-IF($C$83="x",4)-$C$112+IF(H499="x",1)+I499+$M$77+IF(H501="x",1)+IF(J501="x",1)+IF($M$76="x",2)+J499+IF($M$85="x",1)+IF($M$113="x",1)+IF($M$120="x",2)+IF($M$119="x",2)+IF($M$105="x",1)+IF($M$110="x",1)+IF($M$111="x",2)+IF($M$112="x",4)+IF($M$108="x",1)-IF($M$109="x",1)+IF($M$99="x",20)-IF($M$99="x",1)+IF($M$90="x",1)-IF($I$85="x",4)-IF($C$97="x",2,4)
&amp;"/"&amp;$C$3+IF($C$87="x",$I$3,$I$2)-$C$120+IF($C$75="x",2)+$I$16-$B$10+$M$94+IF($C$77="x",2)-IF($C$78="x",4)-IF($I$78="x",1)-IF($C$79="x",4)+IF($C$80="x",1)-IF($I$77="x",2)-IF($I$90="x",2)+IF($I$83="x",2)-IF($C$83="x",4)-$C$112-5+IF(H499="x",1)+I499+$M$77+IF(H501="x",1)+IF(J501="x",1)+IF($M$76="x",2)+J499+IF($M$85="x",1)+IF($M$113="x",1)+IF($M$120="x",2)+IF($M$119="x",2)+IF($M$105="x",1)+IF($M$110="x",1)+IF($M$111="x",2)+IF($M$112="x",4)+IF($M$108="x",1)-IF($M$109="x",1)-IF($M$99="x",1)+IF($M$90="x",1)-IF($I$85="x",4)-IF($C$97="x",2,4)
&amp;"/"&amp;$C$3+IF($C$87="x",$I$3,$I$2)-$C$120+IF($C$75="x",2)+$I$16-$B$10+$M$94+IF($C$77="x",2)-IF($C$78="x",4)-IF($I$78="x",1)-IF($C$79="x",4)+IF($C$80="x",1)-IF($I$77="x",2)-IF($I$90="x",2)+IF($I$83="x",2)-IF($C$83="x",4)-$C$112-10+IF(H499="x",1)+I499+$M$77+IF(H501="x",1)+IF(J501="x",1)+IF($M$76="x",2)+J499+IF($M$85="x",1)+IF($M$113="x",1)+IF($M$120="x",2)+IF($M$119="x",2)+IF($M$105="x",1)+IF($M$110="x",1)+IF($M$111="x",2)+IF($M$112="x",4)+IF($M$108="x",1)-IF($M$109="x",1)-IF($M$99="x",1)+IF($M$90="x",1)-IF($I$85="x",4)-IF($C$97="x",2,4),
$C$3&gt;15,$C$3+IF($C$87="x",$I$3,$I$2)-$C$120+IF($C$75="x",2)+$I$16-$B$10+$M$94+IF($C$77="x",2)-IF($C$78="x",4)-IF($I$78="x",1)-IF($C$79="x",4)+IF($C$80="x",1)-IF($I$77="x",2)-IF($I$90="x",2)+IF($I$83="x",2)-IF($C$83="x",4)-$C$112+IF(H499="x",1)+I499+$M$77+IF(H501="x",1)+IF(J501="x",1)+IF($M$76="x",2)+J499+IF($M$85="x",1)+IF($M$113="x",1)+IF($M$120="x",2)+IF($M$119="x",2)+IF($M$105="x",1)+IF($M$110="x",1)+IF($M$111="x",2)+IF($M$112="x",4)+IF($M$108="x",1)-IF($M$109="x",1)-IF($M$99="x",1)+IF($M$90="x",1)-IF($I$85="x",4)-IF($C$97="x",2,4)
&amp;"/"&amp;$C$3+IF($C$87="x",$I$3,$I$2)-$C$120+IF($C$75="x",2)+$I$16-$B$10+$M$94+IF($C$77="x",2)-IF($C$78="x",4)-IF($I$78="x",1)-IF($C$79="x",4)+IF($C$80="x",1)-IF($I$77="x",2)-IF($I$90="x",2)+IF($I$83="x",2)-IF($C$83="x",4)-$C$112-5+IF(H499="x",1)+I499+$M$77+IF(H501="x",1)+IF(J501="x",1)+IF($M$76="x",2)+J499+IF($M$85="x",1)+IF($M$113="x",1)+IF($M$120="x",2)+IF($M$119="x",2)+IF($M$105="x",1)+IF($M$110="x",1)+IF($M$111="x",2)+IF($M$112="x",4)+IF($M$108="x",1)-IF($M$109="x",1)-IF($M$99="x",1)+IF($M$90="x",1)-IF($I$85="x",4)-IF($C$97="x",2,4)
&amp;"/"&amp;$C$3+IF($C$87="x",$I$3,$I$2)-$C$120+IF($C$75="x",2)+$I$16-$B$10+$M$94+IF($C$77="x",2)-IF($C$78="x",4)-IF($I$78="x",1)-IF($C$79="x",4)+IF($C$80="x",1)-IF($I$77="x",2)-IF($I$90="x",2)+IF($I$83="x",2)-IF($C$83="x",4)-$C$112-10+IF(H499="x",1)+I499+$M$77+IF(H501="x",1)+IF(J501="x",1)+IF($M$76="x",2)+J499+IF($M$85="x",1)+IF($M$113="x",1)+IF($M$120="x",2)+IF($M$119="x",2)+IF($M$105="x",1)+IF($M$110="x",1)+IF($M$111="x",2)+IF($M$112="x",4)+IF($M$108="x",1)-IF($M$109="x",1)-IF($M$99="x",1)+IF($M$90="x",1)-IF($I$85="x",4)-IF($C$97="x",2,4)
&amp;"/"&amp;$C$3+IF($C$87="x",$I$3,$I$2)-$C$120+IF($C$75="x",2)+$I$16-$B$10+$M$94+IF($C$77="x",2)-IF($C$78="x",4)-IF($I$78="x",1)-IF($C$79="x",4)+IF($C$80="x",1)-IF($I$77="x",2)-IF($I$90="x",2)+IF($I$83="x",2)-IF($C$83="x",4)-$C$112-15+IF(H499="x",1)+I499+$M$77+IF(H501="x",1)+IF(J501="x",1)+IF($M$76="x",2)+J499+IF($M$85="x",1)+IF($M$113="x",1)+IF($M$120="x",2)+IF($M$119="x",2)+IF($M$105="x",1)+IF($M$110="x",1)+IF($M$111="x",2)+IF($M$112="x",4)+IF($M$108="x",1)-IF($M$109="x",1)-IF($M$99="x",1)+IF($M$90="x",1)-IF($I$85="x",4)-IF($C$97="x",2,4))</f>
        <v>-4</v>
      </c>
      <c r="C500" s="49" t="str">
        <f>_xlfn.IFS($C$7="Minimaalinen","–",$C$7="Taskukokoinen","1",$C$7="Hyvin pieni","1n2",$C$7="Pieni","1n3",$C$7="Keskikokoinen","1n4",$C$7="Iso","1n6",$C$7="Valtava","1n8",$C$7="Suunnaton","2n6",$C$7="Giganttinen","3n6")</f>
        <v>1n4</v>
      </c>
      <c r="D500" s="121">
        <f>SUM($I$2+$C$120)+I499+$M$77+IF(I501="x",2)+IF(K501="x",2)+IF($M$119="x",2)+IF($M$108="x",1)+$M$94-IF($M$109="x",1)+K499</f>
        <v>0</v>
      </c>
      <c r="E500" s="49" t="str">
        <f>_xlfn.IFS($C$7="Minimaalinen","–",$C$7="Taskukokoinen","2",$C$7="Hyvin pieni","2n2",$C$7="Pieni","2n3",$C$7="Keskikokoinen","2n4",$C$7="Iso","2n6",$C$7="Valtava","2n8",$C$7="Suunnaton","4n6",$C$7="Giganttinen","6n6")</f>
        <v>2n4</v>
      </c>
      <c r="F500" s="82">
        <f>SUM(D500*2)</f>
        <v>0</v>
      </c>
      <c r="G500" s="82" t="str">
        <f>(IF($I$89="x","50 %","")&amp;(IF($C$81="x","20 %",""))&amp;(IF($C$82="x","50 %","")))</f>
        <v/>
      </c>
      <c r="H500" s="14" t="s">
        <v>220</v>
      </c>
      <c r="I500" s="14" t="s">
        <v>221</v>
      </c>
      <c r="J500" s="14" t="s">
        <v>222</v>
      </c>
      <c r="K500" s="14" t="s">
        <v>223</v>
      </c>
      <c r="AB500" s="52"/>
      <c r="AC500" s="53"/>
      <c r="AD500" s="54"/>
      <c r="AE500" s="53"/>
      <c r="AF500" s="54"/>
      <c r="AG500" s="54"/>
      <c r="AH500" s="54"/>
      <c r="AI500" s="114"/>
      <c r="AJ500" s="114"/>
      <c r="AK500" s="114"/>
      <c r="AL500" s="114"/>
    </row>
    <row r="501" spans="1:38" x14ac:dyDescent="0.2">
      <c r="A501" s="122" t="s">
        <v>436</v>
      </c>
      <c r="B501" s="123">
        <f>IF($I$85="x","PAINISSA",IF(AND($C$90="",$C$118=""),SUM($C$3,$I$2)-$C$120+IF($C$75="x",2)+$I$16-$B$10+$M$94+IF($C$77="x",2)-IF($C$78="x",4)-IF($I$78="x",1)-IF($C$79="x",4)+IF($C$80="x",1)-IF($I$77="x",2)-IF($I$90="x",2)+IF($I$83="x",2)-IF($C$75="x",4)-$C$112+IF(H499="x",1)+I499+$M$77+IF(H501="x",1)+IF(J501="x",1)+IF($M$76="x",2)+J499+IF($M$85="x",1)+IF($M$113="x",1)+IF($M$120="x",2)+IF($M$119="x",2)+IF($M$105="x",1)+IF($M$110="x",1)+IF($M$111="x",2)+IF($M$112="x",4)+IF($M$108="x",1)-IF($M$109="x",1)-IF($M$99="x",1)+IF($M$90="x",1)-IF($C$97="x",2,8),
IF(AND($C$90="x",$C$118=""),SUM($C$3,$I$2)-$C$120+IF($C$75="x",2)+$I$16-$B$10+$M$94+IF($C$77="x",2)-IF($C$78="x",4)-IF($I$78="x",1)-IF($C$79="x",4)+IF($C$80="x",1)-IF($I$77="x",2)-IF($I$90="x",2)+IF($I$83="x",2)-IF($C$83="x",4)-$C$112+IF(H499="x",1)+I499+$M$77+IF(H501="x",1)+IF(J501="x",1)+IF($M$76="x",2)+J499+IF($M$85="x",1)+IF($M$113="x",1)+IF($M$120="x",2)+IF($M$119="x",2)+IF($M$105="x",1)+IF($M$110="x",1)+IF($M$111="x",2)+IF($M$112="x",4)+IF($M$108="x",1)-IF($M$109="x",1)-IF($M$99="x",1)+IF($M$90="x",1)-IF($C$97="x",2,8)
&amp;"/"&amp;SUM($C$3,$I$2)-$C$120+IF($C$75="x",2)+$I$16-$B$10+$M$94+IF($C$77="x",2)-IF($C$78="x",4)-IF($I$78="x",1)-IF($C$79="x",4)+IF($C$80="x",1)-IF($I$77="x",2)-IF($I$90="x",2)+IF($I$83="x",2)-IF($C$83="x",4)-$C$112+IF(H499="x",1)+I499+$M$77+IF(H501="x",1)+IF(J501="x",1)+IF($M$76="x",2)+J499+IF($M$85="x",1)+IF($M$113="x",1)+IF($M$120="x",2)+IF($M$119="x",2)+IF($M$105="x",1)+IF($M$110="x",1)+IF($M$111="x",2)+IF($M$112="x",4)+IF($M$108="x",1)-IF($M$109="x",1)-IF($M$99="x",1)+IF($M$90="x",1)-IF($C$97="x",2,8)-5,
IF(AND($C$90="x",$C$118="x"),SUM($C$3,$I$2)-$C$120+IF($C$75="x",2)+$I$16-$B$10+$M$94+IF($C$77="x",2)-IF($C$78="x",4)-IF($I$78="x",1)-IF($C$79="x",4)+IF($C$80="x",1)-IF($I$77="x",2)-IF($I$90="x",2)+IF($I$83="x",2)-IF($C$83="x",4)-$C$112+IF(H499="x",1)+I499+$M$77+IF(H501="x",1)+IF(J501="x",1)+IF($M$76="x",2)+J499+IF($M$85="x",1)+IF($M$113="x",1)+IF($M$120="x",2)+IF($M$119="x",2)+IF($M$105="x",1)+IF($M$110="x",1)+IF($M$111="x",2)+IF($M$112="x",4)+IF($M$108="x",1)-IF($M$109="x",1)+IF($M$99="x",20)-IF($M$99="x",1)+IF($M$90="x",1)-IF($C$97="x",2,8)
&amp;"/"&amp;SUM($C$3,$I$2)-$C$120+IF($C$75="x",2)+$I$16-$B$10+$M$94+IF($C$77="x",2)-IF($C$78="x",4)-IF($I$78="x",1)-IF($C$79="x",4)+IF($C$80="x",1)-IF($I$77="x",2)-IF($I$90="x",2)+IF($I$83="x",2)-IF($C$83="x",4)-$C$112-5+IF(H499="x",1)+I499+$M$77+IF(H501="x",1)+IF(J501="x",1)+IF($M$76="x",2)+J499+IF($M$85="x",1)+IF($M$113="x",1)+IF($M$120="x",2)+IF($M$119="x",2)+IF($M$105="x",1)+IF($M$110="x",1)+IF($M$111="x",2)+IF($M$112="x",4)+IF($M$108="x",1)-IF($M$109="x",1)-IF($M$99="x",1)+IF($M$90="x",1)-IF($C$97="x",4,10)
&amp;"/"&amp;SUM($C$3,$I$2)-$C$120+IF($C$75="x",2)+$I$16-$B$10+$M$94+IF($C$77="x",2)-IF($C$78="x",4)-IF($I$78="x",1)-IF($C$79="x",4)+IF($C$80="x",1)-IF($I$77="x",2)-IF($I$90="x",2)+IF($I$83="x",2)-IF($C$83="x",4)-$C$112-10+IF(H499="x",1)+I499+$M$77+IF(H501="x",1)+IF(J501="x",1)+IF($M$76="x",2)+J499+IF($M$85="x",1)+IF($M$113="x",1)+IF($M$120="x",2)+IF($M$119="x",2)+IF($M$105="x",1)+IF($M$110="x",1)+IF($M$111="x",2)+IF($M$112="x",4)+IF($M$108="x",1)-IF($M$109="x",1)-IF($M$99="x",1)+IF($M$90="x",1)-IF($C$97="x",2,8)))))</f>
        <v>-8</v>
      </c>
      <c r="C501" s="123" t="str">
        <f>_xlfn.IFS($C$7="Minimaalinen","–",$C$7="Taskukokoinen","1",$C$7="Hyvin pieni","1n2",$C$7="Pieni","1n3",$C$7="Keskikokoinen","1n4",$C$7="Iso","1n6",$C$7="Valtava","1n8",$C$7="Suunnaton","2n6",$C$7="Giganttinen","3n6")</f>
        <v>1n4</v>
      </c>
      <c r="D501" s="123">
        <f>INT($I$2/2)+($C$120)+I499+$M$77+IF(I501="x",2)+IF(K501="x",2)+IF($M$119="x",2)+IF($M$108="x",1)+$M$94-IF($M$109="x",1)+K499</f>
        <v>0</v>
      </c>
      <c r="E501" s="123" t="str">
        <f>_xlfn.IFS($C$7="Minimaalinen","–",$C$7="Taskukokoinen","2",$C$7="Hyvin pieni","2n2",$C$7="Pieni","2n3",$C$7="Keskikokoinen","2n4",$C$7="Iso","2n6",$C$7="Valtava","2n8",$C$7="Suunnaton","4n6",$C$7="Giganttinen","6n6")</f>
        <v>2n4</v>
      </c>
      <c r="F501" s="124">
        <f>SUM(D501*2)</f>
        <v>0</v>
      </c>
      <c r="G501" s="123" t="str">
        <f>(IF($I$89="x","50 %","")&amp;(IF($C$81="x","20 %",""))&amp;(IF($C$82="x","50 %","")))</f>
        <v/>
      </c>
      <c r="H501" s="28"/>
      <c r="I501" s="28"/>
      <c r="J501" s="28"/>
      <c r="K501" s="28"/>
    </row>
    <row r="502" spans="1:38" x14ac:dyDescent="0.2">
      <c r="A502" s="125" t="s">
        <v>250</v>
      </c>
      <c r="B502" s="25"/>
      <c r="C502" s="133"/>
      <c r="D502" s="133"/>
      <c r="E502" s="133"/>
      <c r="F502" s="133"/>
      <c r="G502" s="133"/>
      <c r="H502" s="14" t="s">
        <v>182</v>
      </c>
      <c r="I502" s="15"/>
    </row>
    <row r="503" spans="1:38" x14ac:dyDescent="0.2">
      <c r="A503" s="126">
        <f>IF($C$98="x",10*1.5,10)</f>
        <v>10</v>
      </c>
      <c r="B503" s="121">
        <f>_xlfn.IFS($I$85="x",
"PAINISSA",
$C$106="",
SUM($C$3,$I$3)+IF(H503="x",1)+$I$16-$B$10+$M$94+IF($C$77="x",2)-IF($C$78="x",4)-IF($I$78="x",1)-IF($I$77="x",2)-IF($I$90="x",2)+IF($I$83="x",2)-IF($C$76="x",4)-$C$112+IF(H499="x",1)+I499+$M$77+IF(H501="x",1)+IF(J501="x",1)+IF($M$76="x",2)+J499+IF($M$85="x",1)+IF($M$113="x",1)+IF($M$120="x",2)+IF($M$119="x",2)+IF($M$105="x",1)+IF($M$110="x",1)+IF($M$111="x",2)+IF($M$112="x",4)+IF($M$108="x",1)-IF($M$109="x",1)-IF($M$99="x",1)+IF($M$90="x",1),
$B$3&lt;6,
SUM($C$3,$I$3)+IF(H503="x",1)+$I$16-$B$10+$M$94+IF($C$77="x",2)-IF($C$78="x",4)-IF($I$78="x",1)-IF($I$77="x",2)-IF($I$90="x",2)+IF($I$83="x",2)-IF($C$76="x",4)-$C$112+IF(H499="x",1)+I499+$M$77+IF(H501="x",1)+IF(J501="x",1)+IF($M$76="x",2)+J499+IF($M$85="x",1)+IF($M$113="x",1)+IF($M$120="x",2)+IF($M$119="x",2)+IF($M$105="x",1)+IF($M$110="x",1)+IF($M$111="x",2)+IF($M$112="x",4)+IF($M$108="x",1)-IF($M$109="x",1)-IF($M$99="x",1)+IF($M$90="x",1),
$B$3&lt;11,
SUM($C$3,$I$3)+IF(H503="x",1)+$I$16-$B$10+$M$94+IF($C$77="x",2)-IF($C$78="x",4)-IF($I$78="x",1)-IF($I$77="x",2)-IF($I$90="x",2)+IF($I$83="x",2)-IF($C$76="x",4)-$C$112+IF(H499="x",1)+I499+$M$77+IF(H501="x",1)+IF(J501="x",1)+IF($M$76="x",2)+J499+IF($M$85="x",1)+IF($M$113="x",1)+IF($M$120="x",2)+IF($M$119="x",2)+IF($M$105="x",1)+IF($M$110="x",1)+IF($M$111="x",2)+IF($M$112="x",4)+IF($M$108="x",1)-IF($M$109="x",1)-IF($M$99="x",1)+IF($M$90="x",1)
&amp;"/"&amp;SUM($C$3,$I$3)+IF(H503="x",1)+$I$16-$B$10+$M$94+IF($C$77="x",2)-IF($C$78="x",4)-IF($I$78="x",1)-IF($I$77="x",2)-IF($I$90="x",2)+IF($I$83="x",2)-IF($C$76="x",4)-$C$112+IF(H499="x",1)+I499+$M$77+IF(H501="x",1)+IF(J501="x",1)+IF($M$76="x",2)+J499+IF($M$85="x",1)+IF($M$113="x",1)+IF($M$120="x",2)+IF($M$119="x",2)+IF($M$105="x",1)+IF($M$110="x",1)+IF($M$111="x",2)+IF($M$112="x",4)+IF($M$108="x",1)-IF($M$109="x",1)-IF($M$99="x",1)+IF($M$90="x",1)-5,
$B$3&lt;16,
SUM($C$3,$I$3)+IF(H503="x",1)+$I$16-$B$10+$M$94+IF($C$77="x",2)-IF($C$78="x",4)-IF($I$78="x",1)-IF($I$77="x",2)-IF($I$90="x",2)+IF($I$83="x",2)-IF($C$76="x",4)-$C$112+IF(H499="x",1)+I499+$M$77+IF(H501="x",1)+IF(J501="x",1)+IF($M$76="x",2)+J499+IF($M$85="x",1)+IF($M$113="x",1)+IF($M$120="x",2)+IF($M$119="x",2)+IF($M$105="x",1)+IF($M$110="x",1)+IF($M$111="x",2)+IF($M$112="x",4)+IF($M$108="x",1)-IF($M$109="x",1)-IF($M$99="x",1)+IF($M$90="x",1)
&amp;"/"&amp;SUM($C$3,$I$3)+IF(H503="x",1)+$I$16-$B$10+$M$94+IF($C$77="x",2)-IF($C$78="x",4)-IF($I$78="x",1)-IF($I$77="x",2)-IF($I$90="x",2)+IF($I$83="x",2)-IF($C$76="x",4)-$C$112+IF(H499="x",1)+I499+$M$77+IF(H501="x",1)+IF(J501="x",1)+IF($M$76="x",2)+J499+IF($M$85="x",1)+IF($M$113="x",1)+IF($M$120="x",2)+IF($M$119="x",2)+IF($M$105="x",1)+IF($M$110="x",1)+IF($M$111="x",2)+IF($M$112="x",4)+IF($M$108="x",1)-IF($M$109="x",1)-IF($M$99="x",1)+IF($M$90="x",1)-5
&amp;"/"&amp;SUM($C$3,$I$3)+IF(H503="x",1)+$I$16-$B$10+$M$94+IF($C$77="x",2)-IF($C$78="x",4)-IF($I$78="x",1)-IF($I$77="x",2)-IF($I$90="x",2)+IF($I$83="x",2)-IF($C$76="x",4)-$C$112+IF(H499="x",1)+I499+$M$77+IF(H501="x",1)+IF(J501="x",1)+IF($M$76="x",2)+J499+IF($M$85="x",1)+IF($M$113="x",1)+IF($M$120="x",2)+IF($M$119="x",2)+IF($M$105="x",1)+IF($M$110="x",1)+IF($M$111="x",2)+IF($M$112="x",4)+IF($M$108="x",1)-IF($M$109="x",1)-IF($M$99="x",1)+IF($M$90="x",1)-10,
$B$3&gt;=16,
SUM($C$3,$I$3)+IF(H503="x",1)+$I$16-$B$10+$M$94+IF($C$77="x",2)-IF($C$78="x",4)-IF($I$78="x",1)-IF($I$77="x",2)-IF($I$90="x",2)+IF($I$83="x",2)-IF($C$76="x",4)-$C$112+IF(H499="x",1)+I499+$M$77+IF(H501="x",1)+IF(J501="x",1)+IF($M$76="x",2)+J499+IF($M$85="x",1)+IF($M$113="x",1)+IF($M$120="x",2)+IF($M$119="x",2)+IF($M$105="x",1)+IF($M$110="x",1)+IF($M$111="x",2)+IF($M$112="x",4)+IF($M$108="x",1)-IF($M$109="x",1)-IF($M$99="x",1)+IF($M$90="x",1)
&amp;"/"&amp;SUM($C$3,$I$3)+IF(H503="x",1)+$I$16-$B$10+$M$94+IF($C$77="x",2)-IF($C$78="x",4)-IF($I$78="x",1)-IF($I$77="x",2)-IF($I$90="x",2)+IF($I$83="x",2)-IF($C$76="x",4)-$C$112+IF(H499="x",1)+I499+$M$77+IF(H501="x",1)+IF(J501="x",1)+IF($M$76="x",2)+J499+IF($M$85="x",1)+IF($M$113="x",1)+IF($M$120="x",2)+IF($M$119="x",2)+IF($M$105="x",1)+IF($M$110="x",1)+IF($M$111="x",2)+IF($M$112="x",4)+IF($M$108="x",1)-IF($M$109="x",1)-IF($M$99="x",1)+IF($M$90="x",1)-5
&amp;"/"&amp;SUM($C$3,$I$3)+IF(H503="x",1)+$I$16-$B$10+$M$94+IF($C$77="x",2)-IF($C$78="x",4)-IF($I$78="x",1)-IF($I$77="x",2)-IF($I$90="x",2)+IF($I$83="x",2)-IF($C$76="x",4)-$C$112+IF(H499="x",1)+I499+$M$77+IF(H501="x",1)+IF(J501="x",1)+IF($M$76="x",2)+J499+IF($M$85="x",1)+IF($M$113="x",1)+IF($M$120="x",2)+IF($M$119="x",2)+IF($M$105="x",1)+IF($M$110="x",1)+IF($M$111="x",2)+IF($M$112="x",4)+IF($M$108="x",1)-IF($M$109="x",1)-IF($M$99="x",1)+IF($M$90="x",1)-10
&amp;"/"&amp;SUM($C$3,$I$3)+IF(H503="x",1)+$I$16-$B$10+$M$94+IF($C$77="x",2)-IF($C$78="x",4)-IF($I$78="x",1)-IF($I$77="x",2)-IF($I$90="x",2)+IF($I$83="x",2)-IF($C$76="x",4)-$C$112+IF(H499="x",1)+I499+$M$77+IF(H501="x",1)+IF(J501="x",1)+IF($M$76="x",2)+J499+IF($M$85="x",1)+IF($M$113="x",1)+IF($M$120="x",2)+IF($M$119="x",2)+IF($M$105="x",1)+IF($M$110="x",1)+IF($M$111="x",2)+IF($M$112="x",4)+IF($M$108="x",1)-IF($M$109="x",1)-IF($M$99="x",1)+IF($M$90="x",1)-15)</f>
        <v>0</v>
      </c>
      <c r="C503" s="49" t="str">
        <f>_xlfn.IFS($C$7="Minimaalinen","–",$C$7="Taskukokoinen","1",$C$7="Hyvin pieni","1n2",$C$7="Pieni","1n3",$C$7="Keskikokoinen","1n4",$C$7="Iso","1n6",$C$7="Valtava","1n8",$C$7="Suunnaton","2n6",$C$7="Giganttinen","3n6")</f>
        <v>1n4</v>
      </c>
      <c r="D503" s="51">
        <f>SUM($I$2+$C$120)+I499+$M$77+IF(I501="x",2)+IF(K501="x",2)+IF($M$119="x",2)+IF($M$108="x",1)+$M$94-IF($M$109="x",1)+K499+IF(H503="x",1)</f>
        <v>0</v>
      </c>
      <c r="E503" s="49" t="str">
        <f>_xlfn.IFS($C$7="Minimaalinen","–",$C$7="Taskukokoinen","2",$C$7="Hyvin pieni","2n2",$C$7="Pieni","2n3",$C$7="Keskikokoinen","2n4",$C$7="Iso","2n6",$C$7="Valtava","2n8",$C$7="Suunnaton","4n6",$C$7="Giganttinen","6n6")</f>
        <v>2n4</v>
      </c>
      <c r="F503" s="82">
        <f>SUM(D503*2)</f>
        <v>0</v>
      </c>
      <c r="G503" s="82" t="str">
        <f>(IF($I$89="x","50 %","")&amp;(IF($C$81="x","20 %",""))&amp;(IF($C$82="x","50 %","")))</f>
        <v/>
      </c>
      <c r="H503" s="28"/>
      <c r="K503" s="82"/>
      <c r="AB503" s="46"/>
      <c r="AC503" s="48"/>
      <c r="AD503" s="48"/>
      <c r="AE503" s="48"/>
      <c r="AF503" s="48"/>
      <c r="AG503" s="48"/>
      <c r="AH503" s="48"/>
      <c r="AI503" s="48"/>
      <c r="AJ503" s="48"/>
      <c r="AK503" s="48"/>
      <c r="AL503" s="48"/>
    </row>
    <row r="504" spans="1:38" x14ac:dyDescent="0.2">
      <c r="A504" s="127">
        <f>A503*2</f>
        <v>20</v>
      </c>
      <c r="B504" s="123">
        <f>_xlfn.IFS($I$85="x",
"PAINISSA",
$C$106="",
SUM($C$3,$I$3)+IF(H503="x",1)+$I$16-$B$10+$M$94+IF($C$77="x",2)-IF($C$78="x",4)-IF($I$78="x",1)-IF($I$77="x",2)-IF($I$90="x",2)+IF($I$83="x",2)-IF($C$76="x",4)-$C$112+IF(H499="x",1)+I499+$M$77+IF(H501="x",1)+IF(J501="x",1)+IF($M$76="x",2)+J499+IF($M$85="x",1)+IF($M$113="x",1)+IF($M$120="x",2)+IF($M$119="x",2)+IF($M$105="x",1)+IF($M$110="x",1)+IF($M$111="x",2)+IF($M$112="x",4)+IF($M$108="x",1)-IF($M$109="x",1)-IF($M$99="x",1)+IF($M$90="x",1)-2,
$B$3&lt;6,
SUM($C$3,$I$3)+IF(H503="x",1)+$I$16-$B$10+$M$94+IF($C$77="x",2)-IF($C$78="x",4)-IF($I$78="x",1)-IF($I$77="x",2)-IF($I$90="x",2)+IF($I$83="x",2)-IF($C$76="x",4)-$C$112+IF(H499="x",1)+I499+$M$77+IF(H501="x",1)+IF(J501="x",1)+IF($M$76="x",2)+J499+IF($M$85="x",1)+IF($M$113="x",1)+IF($M$120="x",2)+IF($M$119="x",2)+IF($M$105="x",1)+IF($M$110="x",1)+IF($M$111="x",2)+IF($M$112="x",4)+IF($M$108="x",1)-IF($M$109="x",1)-IF($M$99="x",1)+IF($M$90="x",1)-2,
$B$3&lt;11,
SUM($C$3,$I$3)+IF(H503="x",1)+$I$16-$B$10+$M$94+IF($C$77="x",2)-IF($C$78="x",4)-IF($I$78="x",1)-IF($I$77="x",2)-IF($I$90="x",2)+IF($I$83="x",2)-IF($C$76="x",4)-$C$112+IF(H499="x",1)+I499+$M$77+IF(H501="x",1)+IF(J501="x",1)+IF($M$76="x",2)+J499+IF($M$85="x",1)+IF($M$113="x",1)+IF($M$120="x",2)+IF($M$119="x",2)+IF($M$105="x",1)+IF($M$110="x",1)+IF($M$111="x",2)+IF($M$112="x",4)+IF($M$108="x",1)-IF($M$109="x",1)-IF($M$99="x",1)+IF($M$90="x",1)-2
&amp;"/"&amp;SUM($C$3,$I$3)+IF(H503="x",1)+$I$16-$B$10+$M$94+IF($C$77="x",2)-IF($C$78="x",4)-IF($I$78="x",1)-IF($I$77="x",2)-IF($I$90="x",2)+IF($I$83="x",2)-IF($C$76="x",4)-$C$112+IF(H499="x",1)+I499+$M$77+IF(H501="x",1)+IF(J501="x",1)+IF($M$76="x",2)+J499+IF($M$85="x",1)+IF($M$113="x",1)+IF($M$120="x",2)+IF($M$119="x",2)+IF($M$105="x",1)+IF($M$110="x",1)+IF($M$111="x",2)+IF($M$112="x",4)+IF($M$108="x",1)-IF($M$109="x",1)-IF($M$99="x",1)+IF($M$90="x",1)-5-2,
$B$3&lt;16,
SUM($C$3,$I$3)+IF(H503="x",1)+$I$16-$B$10+$M$94+IF($C$77="x",2)-IF($C$78="x",4)-IF($I$78="x",1)-IF($I$77="x",2)-IF($I$90="x",2)+IF($I$83="x",2)-IF($C$76="x",4)-$C$112+IF(H499="x",1)+I499+$M$77+IF(H501="x",1)+IF(J501="x",1)+IF($M$76="x",2)+J499+IF($M$85="x",1)+IF($M$113="x",1)+IF($M$120="x",2)+IF($M$119="x",2)+IF($M$105="x",1)+IF($M$110="x",1)+IF($M$111="x",2)+IF($M$112="x",4)+IF($M$108="x",1)-IF($M$109="x",1)-IF($M$99="x",1)+IF($M$90="x",1)-2
&amp;"/"&amp;SUM($C$3,$I$3)+IF(H503="x",1)+$I$16-$B$10+$M$94+IF($C$77="x",2)-IF($C$78="x",4)-IF($I$78="x",1)-IF($I$77="x",2)-IF($I$90="x",2)+IF($I$83="x",2)-IF($C$76="x",4)-$C$112+IF(H499="x",1)+I499+$M$77+IF(H501="x",1)+IF(J501="x",1)+IF($M$76="x",2)+J499+IF($M$85="x",1)+IF($M$113="x",1)+IF($M$120="x",2)+IF($M$119="x",2)+IF($M$105="x",1)+IF($M$110="x",1)+IF($M$111="x",2)+IF($M$112="x",4)+IF($M$108="x",1)-IF($M$109="x",1)-IF($M$99="x",1)+IF($M$90="x",1)-5-2
&amp;"/"&amp;SUM($C$3,$I$3)+IF(H503="x",1)+$I$16-$B$10+$M$94+IF($C$77="x",2)-IF($C$78="x",4)-IF($I$78="x",1)-IF($I$77="x",2)-IF($I$90="x",2)+IF($I$83="x",2)-IF($C$76="x",4)-$C$112+IF(H499="x",1)+I499+$M$77+IF(H501="x",1)+IF(J501="x",1)+IF($M$76="x",2)+J499+IF($M$85="x",1)+IF($M$113="x",1)+IF($M$120="x",2)+IF($M$119="x",2)+IF($M$105="x",1)+IF($M$110="x",1)+IF($M$111="x",2)+IF($M$112="x",4)+IF($M$108="x",1)-IF($M$109="x",1)-IF($M$99="x",1)+IF($M$90="x",1)-10-2,
$B$3&gt;=16,
SUM($C$3,$I$3)+IF(H503="x",1)+$I$16-$B$10+$M$94+IF($C$77="x",2)-IF($C$78="x",4)-IF($I$78="x",1)-IF($I$77="x",2)-IF($I$90="x",2)+IF($I$83="x",2)-IF($C$76="x",4)-$C$112+IF(H499="x",1)+I499+$M$77+IF(H501="x",1)+IF(J501="x",1)+IF($M$76="x",2)+J499+IF($M$85="x",1)+IF($M$113="x",1)+IF($M$120="x",2)+IF($M$119="x",2)+IF($M$105="x",1)+IF($M$110="x",1)+IF($M$111="x",2)+IF($M$112="x",4)+IF($M$108="x",1)-IF($M$109="x",1)-IF($M$99="x",1)+IF($M$90="x",1)-2
&amp;"/"&amp;SUM($C$3,$I$3)+IF(H503="x",1)+$I$16-$B$10+$M$94+IF($C$77="x",2)-IF($C$78="x",4)-IF($I$78="x",1)-IF($I$77="x",2)-IF($I$90="x",2)+IF($I$83="x",2)-IF($C$76="x",4)-$C$112+IF(H499="x",1)+I499+$M$77+IF(H501="x",1)+IF(J501="x",1)+IF($M$76="x",2)+J499+IF($M$85="x",1)+IF($M$113="x",1)+IF($M$120="x",2)+IF($M$119="x",2)+IF($M$105="x",1)+IF($M$110="x",1)+IF($M$111="x",2)+IF($M$112="x",4)+IF($M$108="x",1)-IF($M$109="x",1)-IF($M$99="x",1)+IF($M$90="x",1)-5-2
&amp;"/"&amp;SUM($C$3,$I$3)+IF(H503="x",1)+$I$16-$B$10+$M$94+IF($C$77="x",2)-IF($C$78="x",4)-IF($I$78="x",1)-IF($I$77="x",2)-IF($I$90="x",2)+IF($I$83="x",2)-IF($C$76="x",4)-$C$112+IF(H499="x",1)+I499+$M$77+IF(H501="x",1)+IF(J501="x",1)+IF($M$76="x",2)+J499+IF($M$85="x",1)+IF($M$113="x",1)+IF($M$120="x",2)+IF($M$119="x",2)+IF($M$105="x",1)+IF($M$110="x",1)+IF($M$111="x",2)+IF($M$112="x",4)+IF($M$108="x",1)-IF($M$109="x",1)-IF($M$99="x",1)+IF($M$90="x",1)-10-2
&amp;"/"&amp;SUM($C$3,$I$3)+IF(H503="x",1)+$I$16-$B$10+$M$94+IF($C$77="x",2)-IF($C$78="x",4)-IF($I$78="x",1)-IF($I$77="x",2)-IF($I$90="x",2)+IF($I$83="x",2)-IF($C$76="x",4)-$C$112+IF(H499="x",1)+I499+$M$77+IF(H501="x",1)+IF(J501="x",1)+IF($M$76="x",2)+J499+IF($M$85="x",1)+IF($M$113="x",1)+IF($M$120="x",2)+IF($M$119="x",2)+IF($M$105="x",1)+IF($M$110="x",1)+IF($M$111="x",2)+IF($M$112="x",4)+IF($M$108="x",1)-IF($M$109="x",1)-IF($M$99="x",1)+IF($M$90="x",1)-15-2)</f>
        <v>-2</v>
      </c>
      <c r="C504" s="135"/>
      <c r="D504" s="136"/>
      <c r="E504" s="135"/>
      <c r="F504" s="135"/>
      <c r="G504" s="123" t="str">
        <f>(IF($I$89="x","50 %","")&amp;(IF($C$81="x","20 %",""))&amp;(IF($C$82="x","50 %","")))</f>
        <v/>
      </c>
      <c r="H504" s="133"/>
      <c r="I504" s="133"/>
      <c r="J504" s="133"/>
      <c r="K504" s="133"/>
      <c r="AB504" s="47"/>
      <c r="AC504" s="113"/>
      <c r="AD504" s="114"/>
      <c r="AE504" s="113"/>
      <c r="AF504" s="114"/>
      <c r="AG504" s="114"/>
      <c r="AH504" s="114"/>
      <c r="AI504" s="40"/>
      <c r="AJ504" s="40"/>
      <c r="AK504" s="40"/>
      <c r="AL504" s="40"/>
    </row>
    <row r="505" spans="1:38" x14ac:dyDescent="0.2">
      <c r="A505" s="126">
        <f>A503*3</f>
        <v>30</v>
      </c>
      <c r="B505" s="121">
        <f>_xlfn.IFS($I$85="x",
"PAINISSA",
$C$106="",
SUM($C$3,$I$3)+IF(H503="x",1)+$I$16-$B$10+$M$94+IF($C$77="x",2)-IF($C$78="x",4)-IF($I$78="x",1)-IF($I$77="x",2)-IF($I$90="x",2)+IF($I$83="x",2)-IF($C$76="x",4)-$C$112+IF(H499="x",1)+I499+$M$77+IF(H501="x",1)+IF(J501="x",1)+IF($M$76="x",2)+J499+IF($M$85="x",1)+IF($M$113="x",1)+IF($M$120="x",2)+IF($M$119="x",2)+IF($M$105="x",1)+IF($M$110="x",1)+IF($M$111="x",2)+IF($M$112="x",4)+IF($M$108="x",1)-IF($M$109="x",1)-IF($M$99="x",1)+IF($M$90="x",1)-4,
$B$3&lt;6,
SUM($C$3,$I$3)+IF(H503="x",1)+$I$16-$B$10+$M$94+IF($C$77="x",2)-IF($C$78="x",4)-IF($I$78="x",1)-IF($I$77="x",2)-IF($I$90="x",2)+IF($I$83="x",2)-IF($C$76="x",4)-$C$112+IF(H499="x",1)+I499+$M$77+IF(H501="x",1)+IF(J501="x",1)+IF($M$76="x",2)+J499+IF($M$85="x",1)+IF($M$113="x",1)+IF($M$120="x",2)+IF($M$119="x",2)+IF($M$105="x",1)+IF($M$110="x",1)+IF($M$111="x",2)+IF($M$112="x",4)+IF($M$108="x",1)-IF($M$109="x",1)-IF($M$99="x",1)+IF($M$90="x",1)-4,
$B$3&lt;11,
SUM($C$3,$I$3)+IF(H503="x",1)+$I$16-$B$10+$M$94+IF($C$77="x",2)-IF($C$78="x",4)-IF($I$78="x",1)-IF($I$77="x",2)-IF($I$90="x",2)+IF($I$83="x",2)-IF($C$76="x",4)-$C$112+IF(H499="x",1)+I499+$M$77+IF(H501="x",1)+IF(J501="x",1)+IF($M$76="x",2)+J499+IF($M$85="x",1)+IF($M$113="x",1)+IF($M$120="x",2)+IF($M$119="x",2)+IF($M$105="x",1)+IF($M$110="x",1)+IF($M$111="x",2)+IF($M$112="x",4)+IF($M$108="x",1)-IF($M$109="x",1)-IF($M$99="x",1)+IF($M$90="x",1)-4
&amp;"/"&amp;SUM($C$3,$I$3)+IF(H503="x",1)+$I$16-$B$10+$M$94+IF($C$77="x",2)-IF($C$78="x",4)-IF($I$78="x",1)-IF($I$77="x",2)-IF($I$90="x",2)+IF($I$83="x",2)-IF($C$76="x",4)-$C$112+IF(H499="x",1)+I499+$M$77+IF(H501="x",1)+IF(J501="x",1)+IF($M$76="x",2)+J499+IF($M$85="x",1)+IF($M$113="x",1)+IF($M$120="x",2)+IF($M$119="x",2)+IF($M$105="x",1)+IF($M$110="x",1)+IF($M$111="x",2)+IF($M$112="x",4)+IF($M$108="x",1)-IF($M$109="x",1)-IF($M$99="x",1)+IF($M$90="x",1)-5-4,
$B$3&lt;16,
SUM($C$3,$I$3)+IF(H503="x",1)+$I$16-$B$10+$M$94+IF($C$77="x",2)-IF($C$78="x",4)-IF($I$78="x",1)-IF($I$77="x",2)-IF($I$90="x",2)+IF($I$83="x",2)-IF($C$76="x",4)-$C$112+IF(H499="x",1)+I499+$M$77+IF(H501="x",1)+IF(J501="x",1)+IF($M$76="x",2)+J499+IF($M$85="x",1)+IF($M$113="x",1)+IF($M$120="x",2)+IF($M$119="x",2)+IF($M$105="x",1)+IF($M$110="x",1)+IF($M$111="x",2)+IF($M$112="x",4)+IF($M$108="x",1)-IF($M$109="x",1)-IF($M$99="x",1)+IF($M$90="x",1)-4
&amp;"/"&amp;SUM($C$3,$I$3)+IF(H503="x",1)+$I$16-$B$10+$M$94+IF($C$77="x",2)-IF($C$78="x",4)-IF($I$78="x",1)-IF($I$77="x",2)-IF($I$90="x",2)+IF($I$83="x",2)-IF($C$76="x",4)-$C$112+IF(H499="x",1)+I499+$M$77+IF(H501="x",1)+IF(J501="x",1)+IF($M$76="x",2)+J499+IF($M$85="x",1)+IF($M$113="x",1)+IF($M$120="x",2)+IF($M$119="x",2)+IF($M$105="x",1)+IF($M$110="x",1)+IF($M$111="x",2)+IF($M$112="x",4)+IF($M$108="x",1)-IF($M$109="x",1)-IF($M$99="x",1)+IF($M$90="x",1)-5-4
&amp;"/"&amp;SUM($C$3,$I$3)+IF(H503="x",1)+$I$16-$B$10+$M$94+IF($C$77="x",2)-IF($C$78="x",4)-IF($I$78="x",1)-IF($I$77="x",2)-IF($I$90="x",2)+IF($I$83="x",2)-IF($C$76="x",4)-$C$112+IF(H499="x",1)+I499+$M$77+IF(H501="x",1)+IF(J501="x",1)+IF($M$76="x",2)+J499+IF($M$85="x",1)+IF($M$113="x",1)+IF($M$120="x",2)+IF($M$119="x",2)+IF($M$105="x",1)+IF($M$110="x",1)+IF($M$111="x",2)+IF($M$112="x",4)+IF($M$108="x",1)-IF($M$109="x",1)-IF($M$99="x",1)+IF($M$90="x",1)-10-4,
$B$3&gt;=16,
SUM($C$3,$I$3)+IF(H503="x",1)+$I$16-$B$10+$M$94+IF($C$77="x",2)-IF($C$78="x",4)-IF($I$78="x",1)-IF($I$77="x",2)-IF($I$90="x",2)+IF($I$83="x",2)-IF($C$76="x",4)-$C$112+IF(H499="x",1)+I499+$M$77+IF(H501="x",1)+IF(J501="x",1)+IF($M$76="x",2)+J499+IF($M$85="x",1)+IF($M$113="x",1)+IF($M$120="x",2)+IF($M$119="x",2)+IF($M$105="x",1)+IF($M$110="x",1)+IF($M$111="x",2)+IF($M$112="x",4)+IF($M$108="x",1)-IF($M$109="x",1)-IF($M$99="x",1)+IF($M$90="x",1)-4
&amp;"/"&amp;SUM($C$3,$I$3)+IF(H503="x",1)+$I$16-$B$10+$M$94+IF($C$77="x",2)-IF($C$78="x",4)-IF($I$78="x",1)-IF($I$77="x",2)-IF($I$90="x",2)+IF($I$83="x",2)-IF($C$76="x",4)-$C$112+IF(H499="x",1)+I499+$M$77+IF(H501="x",1)+IF(J501="x",1)+IF($M$76="x",2)+J499+IF($M$85="x",1)+IF($M$113="x",1)+IF($M$120="x",2)+IF($M$119="x",2)+IF($M$105="x",1)+IF($M$110="x",1)+IF($M$111="x",2)+IF($M$112="x",4)+IF($M$108="x",1)-IF($M$109="x",1)-IF($M$99="x",1)+IF($M$90="x",1)-5-4
&amp;"/"&amp;SUM($C$3,$I$3)+IF(H503="x",1)+$I$16-$B$10+$M$94+IF($C$77="x",2)-IF($C$78="x",4)-IF($I$78="x",1)-IF($I$77="x",2)-IF($I$90="x",2)+IF($I$83="x",2)-IF($C$76="x",4)-$C$112+IF(H499="x",1)+I499+$M$77+IF(H501="x",1)+IF(J501="x",1)+IF($M$76="x",2)+J499+IF($M$85="x",1)+IF($M$113="x",1)+IF($M$120="x",2)+IF($M$119="x",2)+IF($M$105="x",1)+IF($M$110="x",1)+IF($M$111="x",2)+IF($M$112="x",4)+IF($M$108="x",1)-IF($M$109="x",1)-IF($M$99="x",1)+IF($M$90="x",1)-10-4
&amp;"/"&amp;SUM($C$3,$I$3)+IF(H503="x",1)+$I$16-$B$10+$M$94+IF($C$77="x",2)-IF($C$78="x",4)-IF($I$78="x",1)-IF($I$77="x",2)-IF($I$90="x",2)+IF($I$83="x",2)-IF($C$76="x",4)-$C$112+IF(H499="x",1)+I499+$M$77+IF(H501="x",1)+IF(J501="x",1)+IF($M$76="x",2)+J499+IF($M$85="x",1)+IF($M$113="x",1)+IF($M$120="x",2)+IF($M$119="x",2)+IF($M$105="x",1)+IF($M$110="x",1)+IF($M$111="x",2)+IF($M$112="x",4)+IF($M$108="x",1)-IF($M$109="x",1)-IF($M$99="x",1)+IF($M$90="x",1)-15-4)</f>
        <v>-4</v>
      </c>
      <c r="C505" s="135"/>
      <c r="D505" s="136"/>
      <c r="E505" s="135"/>
      <c r="F505" s="135"/>
      <c r="G505" s="82" t="str">
        <f>(IF($I$89="x","50 %","")&amp;(IF($C$81="x","20 %",""))&amp;(IF($C$82="x","50 %","")))</f>
        <v/>
      </c>
      <c r="H505" s="133"/>
      <c r="I505" s="133"/>
      <c r="J505" s="133"/>
      <c r="K505" s="133"/>
      <c r="AB505" s="50"/>
      <c r="AC505" s="51"/>
      <c r="AD505" s="49"/>
      <c r="AE505" s="51"/>
      <c r="AF505" s="49"/>
      <c r="AG505" s="49"/>
      <c r="AH505" s="49"/>
      <c r="AI505" s="48"/>
      <c r="AJ505" s="48"/>
      <c r="AK505" s="48"/>
      <c r="AL505" s="48"/>
    </row>
    <row r="506" spans="1:38" x14ac:dyDescent="0.2">
      <c r="A506" s="127">
        <f>A503*4</f>
        <v>40</v>
      </c>
      <c r="B506" s="123">
        <f>_xlfn.IFS($I$85="x",
"PAINISSA",
$C$106="",
SUM($C$3,$I$3)+IF(H503="x",1)+$I$16-$B$10+$M$94+IF($C$77="x",2)-IF($C$78="x",4)-IF($I$78="x",1)-IF($I$77="x",2)-IF($I$90="x",2)+IF($I$83="x",2)-IF($C$76="x",4)-$C$112+IF(H499="x",1)+I499+$M$77+IF(H501="x",1)+IF(J501="x",1)+IF($M$76="x",2)+J499+IF($M$85="x",1)+IF($M$113="x",1)+IF($M$120="x",2)+IF($M$119="x",2)+IF($M$105="x",1)+IF($M$110="x",1)+IF($M$111="x",2)+IF($M$112="x",4)+IF($M$108="x",1)-IF($M$109="x",1)-IF($M$99="x",1)+IF($M$90="x",1)-6,
$B$3&lt;6,
SUM($C$3,$I$3)+IF(H503="x",1)+$I$16-$B$10+$M$94+IF($C$77="x",2)-IF($C$78="x",4)-IF($I$78="x",1)-IF($I$77="x",2)-IF($I$90="x",2)+IF($I$83="x",2)-IF($C$76="x",4)-$C$112+IF(H499="x",1)+I499+$M$77+IF(H501="x",1)+IF(J501="x",1)+IF($M$76="x",2)+J499+IF($M$85="x",1)+IF($M$113="x",1)+IF($M$120="x",2)+IF($M$119="x",2)+IF($M$105="x",1)+IF($M$110="x",1)+IF($M$111="x",2)+IF($M$112="x",4)+IF($M$108="x",1)-IF($M$109="x",1)-IF($M$99="x",1)+IF($M$90="x",1)-6,
$B$3&lt;11,
SUM($C$3,$I$3)+IF(H503="x",1)+$I$16-$B$10+$M$94+IF($C$77="x",2)-IF($C$78="x",4)-IF($I$78="x",1)-IF($I$77="x",2)-IF($I$90="x",2)+IF($I$83="x",2)-IF($C$76="x",4)-$C$112+IF(H499="x",1)+I499+$M$77+IF(H501="x",1)+IF(J501="x",1)+IF($M$76="x",2)+J499+IF($M$85="x",1)+IF($M$113="x",1)+IF($M$120="x",2)+IF($M$119="x",2)+IF($M$105="x",1)+IF($M$110="x",1)+IF($M$111="x",2)+IF($M$112="x",4)+IF($M$108="x",1)-IF($M$109="x",1)-IF($M$99="x",1)+IF($M$90="x",1)-6
&amp;"/"&amp;SUM($C$3,$I$3)+IF(H503="x",1)+$I$16-$B$10+$M$94+IF($C$77="x",2)-IF($C$78="x",4)-IF($I$78="x",1)-IF($I$77="x",2)-IF($I$90="x",2)+IF($I$83="x",2)-IF($C$76="x",4)-$C$112+IF(H499="x",1)+I499+$M$77+IF(H501="x",1)+IF(J501="x",1)+IF($M$76="x",2)+J499+IF($M$85="x",1)+IF($M$113="x",1)+IF($M$120="x",2)+IF($M$119="x",2)+IF($M$105="x",1)+IF($M$110="x",1)+IF($M$111="x",2)+IF($M$112="x",4)+IF($M$108="x",1)-IF($M$109="x",1)-IF($M$99="x",1)+IF($M$90="x",1)-5-6,
$B$3&lt;16,
SUM($C$3,$I$3)+IF(H503="x",1)+$I$16-$B$10+$M$94+IF($C$77="x",2)-IF($C$78="x",4)-IF($I$78="x",1)-IF($I$77="x",2)-IF($I$90="x",2)+IF($I$83="x",2)-IF($C$76="x",4)-$C$112+IF(H499="x",1)+I499+$M$77+IF(H501="x",1)+IF(J501="x",1)+IF($M$76="x",2)+J499+IF($M$85="x",1)+IF($M$113="x",1)+IF($M$120="x",2)+IF($M$119="x",2)+IF($M$105="x",1)+IF($M$110="x",1)+IF($M$111="x",2)+IF($M$112="x",4)+IF($M$108="x",1)-IF($M$109="x",1)-IF($M$99="x",1)+IF($M$90="x",1)-6
&amp;"/"&amp;SUM($C$3,$I$3)+IF(H503="x",1)+$I$16-$B$10+$M$94+IF($C$77="x",2)-IF($C$78="x",4)-IF($I$78="x",1)-IF($I$77="x",2)-IF($I$90="x",2)+IF($I$83="x",2)-IF($C$76="x",4)-$C$112+IF(H499="x",1)+I499+$M$77+IF(H501="x",1)+IF(J501="x",1)+IF($M$76="x",2)+J499+IF($M$85="x",1)+IF($M$113="x",1)+IF($M$120="x",2)+IF($M$119="x",2)+IF($M$105="x",1)+IF($M$110="x",1)+IF($M$111="x",2)+IF($M$112="x",4)+IF($M$108="x",1)-IF($M$109="x",1)-IF($M$99="x",1)+IF($M$90="x",1)-5-6
&amp;"/"&amp;SUM($C$3,$I$3)+IF(H503="x",1)+$I$16-$B$10+$M$94+IF($C$77="x",2)-IF($C$78="x",4)-IF($I$78="x",1)-IF($I$77="x",2)-IF($I$90="x",2)+IF($I$83="x",2)-IF($C$76="x",4)-$C$112+IF(H499="x",1)+I499+$M$77+IF(H501="x",1)+IF(J501="x",1)+IF($M$76="x",2)+J499+IF($M$85="x",1)+IF($M$113="x",1)+IF($M$120="x",2)+IF($M$119="x",2)+IF($M$105="x",1)+IF($M$110="x",1)+IF($M$111="x",2)+IF($M$112="x",4)+IF($M$108="x",1)-IF($M$109="x",1)-IF($M$99="x",1)+IF($M$90="x",1)-10-6,
$B$3&gt;=16,
SUM($C$3,$I$3)+IF(H503="x",1)+$I$16-$B$10+$M$94+IF($C$77="x",2)-IF($C$78="x",4)-IF($I$78="x",1)-IF($I$77="x",2)-IF($I$90="x",2)+IF($I$83="x",2)-IF($C$76="x",4)-$C$112+IF(H499="x",1)+I499+$M$77+IF(H501="x",1)+IF(J501="x",1)+IF($M$76="x",2)+J499+IF($M$85="x",1)+IF($M$113="x",1)+IF($M$120="x",2)+IF($M$119="x",2)+IF($M$105="x",1)+IF($M$110="x",1)+IF($M$111="x",2)+IF($M$112="x",4)+IF($M$108="x",1)-IF($M$109="x",1)-IF($M$99="x",1)+IF($M$90="x",1)-6
&amp;"/"&amp;SUM($C$3,$I$3)+IF(H503="x",1)+$I$16-$B$10+$M$94+IF($C$77="x",2)-IF($C$78="x",4)-IF($I$78="x",1)-IF($I$77="x",2)-IF($I$90="x",2)+IF($I$83="x",2)-IF($C$76="x",4)-$C$112+IF(H499="x",1)+I499+$M$77+IF(H501="x",1)+IF(J501="x",1)+IF($M$76="x",2)+J499+IF($M$85="x",1)+IF($M$113="x",1)+IF($M$120="x",2)+IF($M$119="x",2)+IF($M$105="x",1)+IF($M$110="x",1)+IF($M$111="x",2)+IF($M$112="x",4)+IF($M$108="x",1)-IF($M$109="x",1)-IF($M$99="x",1)+IF($M$90="x",1)-5-6
&amp;"/"&amp;SUM($C$3,$I$3)+IF(H503="x",1)+$I$16-$B$10+$M$94+IF($C$77="x",2)-IF($C$78="x",4)-IF($I$78="x",1)-IF($I$77="x",2)-IF($I$90="x",2)+IF($I$83="x",2)-IF($C$76="x",4)-$C$112+IF(H499="x",1)+I499+$M$77+IF(H501="x",1)+IF(J501="x",1)+IF($M$76="x",2)+J499+IF($M$85="x",1)+IF($M$113="x",1)+IF($M$120="x",2)+IF($M$119="x",2)+IF($M$105="x",1)+IF($M$110="x",1)+IF($M$111="x",2)+IF($M$112="x",4)+IF($M$108="x",1)-IF($M$109="x",1)-IF($M$99="x",1)+IF($M$90="x",1)-10-6
&amp;"/"&amp;SUM($C$3,$I$3)+IF(H503="x",1)+$I$16-$B$10+$M$94+IF($C$77="x",2)-IF($C$78="x",4)-IF($I$78="x",1)-IF($I$77="x",2)-IF($I$90="x",2)+IF($I$83="x",2)-IF($C$76="x",4)-$C$112+IF(H499="x",1)+I499+$M$77+IF(H501="x",1)+IF(J501="x",1)+IF($M$76="x",2)+J499+IF($M$85="x",1)+IF($M$113="x",1)+IF($M$120="x",2)+IF($M$119="x",2)+IF($M$105="x",1)+IF($M$110="x",1)+IF($M$111="x",2)+IF($M$112="x",4)+IF($M$108="x",1)-IF($M$109="x",1)-IF($M$99="x",1)+IF($M$90="x",1)-15-6)</f>
        <v>-6</v>
      </c>
      <c r="C506" s="135"/>
      <c r="D506" s="136"/>
      <c r="E506" s="135"/>
      <c r="F506" s="135"/>
      <c r="G506" s="123" t="str">
        <f>(IF($I$89="x","50 %","")&amp;(IF($C$81="x","20 %",""))&amp;(IF($C$82="x","50 %","")))</f>
        <v/>
      </c>
      <c r="H506" s="133"/>
      <c r="I506" s="133"/>
      <c r="J506" s="133"/>
      <c r="K506" s="133"/>
      <c r="AB506" s="52"/>
      <c r="AC506" s="53"/>
      <c r="AD506" s="54"/>
      <c r="AE506" s="53"/>
      <c r="AF506" s="54"/>
      <c r="AG506" s="54"/>
      <c r="AH506" s="54"/>
      <c r="AI506" s="114"/>
      <c r="AJ506" s="114"/>
      <c r="AK506" s="114"/>
      <c r="AL506" s="114"/>
    </row>
    <row r="507" spans="1:38" x14ac:dyDescent="0.2">
      <c r="A507" s="126">
        <f>A503*5</f>
        <v>50</v>
      </c>
      <c r="B507" s="121">
        <f>_xlfn.IFS($I$85="x",
"PAINISSA",
$C$106="",
SUM($C$3,$I$3)+IF(H503="x",1)+$I$16-$B$10+$M$94+IF($C$77="x",2)-IF($C$78="x",4)-IF($I$78="x",1)-IF($I$77="x",2)-IF($I$90="x",2)+IF($I$83="x",2)-IF($C$76="x",4)-$C$112+IF(H499="x",1)+I499+$M$77+IF(H501="x",1)+IF(J501="x",1)+IF($M$76="x",2)+J499+IF($M$85="x",1)+IF($M$113="x",1)+IF($M$120="x",2)+IF($M$119="x",2)+IF($M$105="x",1)+IF($M$110="x",1)+IF($M$111="x",2)+IF($M$112="x",4)+IF($M$108="x",1)-IF($M$109="x",1)-IF($M$99="x",1)+IF($M$90="x",1)-8,
$B$3&lt;6,
SUM($C$3,$I$3)+IF(H503="x",1)+$I$16-$B$10+$M$94+IF($C$77="x",2)-IF($C$78="x",4)-IF($I$78="x",1)-IF($I$77="x",2)-IF($I$90="x",2)+IF($I$83="x",2)-IF($C$76="x",4)-$C$112+IF(H499="x",1)+I499+$M$77+IF(H501="x",1)+IF(J501="x",1)+IF($M$76="x",2)+J499+IF($M$85="x",1)+IF($M$113="x",1)+IF($M$120="x",2)+IF($M$119="x",2)+IF($M$105="x",1)+IF($M$110="x",1)+IF($M$111="x",2)+IF($M$112="x",4)+IF($M$108="x",1)-IF($M$109="x",1)-IF($M$99="x",1)+IF($M$90="x",1)-8,
$B$3&lt;11,
SUM($C$3,$I$3)+IF(H503="x",1)+$I$16-$B$10+$M$94+IF($C$77="x",2)-IF($C$78="x",4)-IF($I$78="x",1)-IF($I$77="x",2)-IF($I$90="x",2)+IF($I$83="x",2)-IF($C$76="x",4)-$C$112+IF(H499="x",1)+I499+$M$77+IF(H501="x",1)+IF(J501="x",1)+IF($M$76="x",2)+J499+IF($M$85="x",1)+IF($M$113="x",1)+IF($M$120="x",2)+IF($M$119="x",2)+IF($M$105="x",1)+IF($M$110="x",1)+IF($M$111="x",2)+IF($M$112="x",4)+IF($M$108="x",1)-IF($M$109="x",1)-IF($M$99="x",1)+IF($M$90="x",1)-8
&amp;"/"&amp;SUM($C$3,$I$3)+IF(H503="x",1)+$I$16-$B$10+$M$94+IF($C$77="x",2)-IF($C$78="x",4)-IF($I$78="x",1)-IF($I$77="x",2)-IF($I$90="x",2)+IF($I$83="x",2)-IF($C$76="x",4)-$C$112+IF(H499="x",1)+I499+$M$77+IF(H501="x",1)+IF(J501="x",1)+IF($M$76="x",2)+J499+IF($M$85="x",1)+IF($M$113="x",1)+IF($M$120="x",2)+IF($M$119="x",2)+IF($M$105="x",1)+IF($M$110="x",1)+IF($M$111="x",2)+IF($M$112="x",4)+IF($M$108="x",1)-IF($M$109="x",1)-IF($M$99="x",1)+IF($M$90="x",1)-5-8,
$B$3&lt;16,
SUM($C$3,$I$3)+IF(H503="x",1)+$I$16-$B$10+$M$94+IF($C$77="x",2)-IF($C$78="x",4)-IF($I$78="x",1)-IF($I$77="x",2)-IF($I$90="x",2)+IF($I$83="x",2)-IF($C$76="x",4)-$C$112+IF(H499="x",1)+I499+$M$77+IF(H501="x",1)+IF(J501="x",1)+IF($M$76="x",2)+J499+IF($M$85="x",1)+IF($M$113="x",1)+IF($M$120="x",2)+IF($M$119="x",2)+IF($M$105="x",1)+IF($M$110="x",1)+IF($M$111="x",2)+IF($M$112="x",4)+IF($M$108="x",1)-IF($M$109="x",1)-IF($M$99="x",1)+IF($M$90="x",1)-8
&amp;"/"&amp;SUM($C$3,$I$3)+IF(H503="x",1)+$I$16-$B$10+$M$94+IF($C$77="x",2)-IF($C$78="x",4)-IF($I$78="x",1)-IF($I$77="x",2)-IF($I$90="x",2)+IF($I$83="x",2)-IF($C$76="x",4)-$C$112+IF(H499="x",1)+I499+$M$77+IF(H501="x",1)+IF(J501="x",1)+IF($M$76="x",2)+J499+IF($M$85="x",1)+IF($M$113="x",1)+IF($M$120="x",2)+IF($M$119="x",2)+IF($M$105="x",1)+IF($M$110="x",1)+IF($M$111="x",2)+IF($M$112="x",4)+IF($M$108="x",1)-IF($M$109="x",1)-IF($M$99="x",1)+IF($M$90="x",1)-5-8
&amp;"/"&amp;SUM($C$3,$I$3)+IF(H503="x",1)+$I$16-$B$10+$M$94+IF($C$77="x",2)-IF($C$78="x",4)-IF($I$78="x",1)-IF($I$77="x",2)-IF($I$90="x",2)+IF($I$83="x",2)-IF($C$76="x",4)-$C$112+IF(H499="x",1)+I499+$M$77+IF(H501="x",1)+IF(J501="x",1)+IF($M$76="x",2)+J499+IF($M$85="x",1)+IF($M$113="x",1)+IF($M$120="x",2)+IF($M$119="x",2)+IF($M$105="x",1)+IF($M$110="x",1)+IF($M$111="x",2)+IF($M$112="x",4)+IF($M$108="x",1)-IF($M$109="x",1)-IF($M$99="x",1)+IF($M$90="x",1)-10-8,
$B$3&gt;=16,
SUM($C$3,$I$3)+IF(H503="x",1)+$I$16-$B$10+$M$94+IF($C$77="x",2)-IF($C$78="x",4)-IF($I$78="x",1)-IF($I$77="x",2)-IF($I$90="x",2)+IF($I$83="x",2)-IF($C$76="x",4)-$C$112+IF(H499="x",1)+I499+$M$77+IF(H501="x",1)+IF(J501="x",1)+IF($M$76="x",2)+J499+IF($M$85="x",1)+IF($M$113="x",1)+IF($M$120="x",2)+IF($M$119="x",2)+IF($M$105="x",1)+IF($M$110="x",1)+IF($M$111="x",2)+IF($M$112="x",4)+IF($M$108="x",1)-IF($M$109="x",1)-IF($M$99="x",1)+IF($M$90="x",1)-8
&amp;"/"&amp;SUM($C$3,$I$3)+IF(H503="x",1)+$I$16-$B$10+$M$94+IF($C$77="x",2)-IF($C$78="x",4)-IF($I$78="x",1)-IF($I$77="x",2)-IF($I$90="x",2)+IF($I$83="x",2)-IF($C$76="x",4)-$C$112+IF(H499="x",1)+I499+$M$77+IF(H501="x",1)+IF(J501="x",1)+IF($M$76="x",2)+J499+IF($M$85="x",1)+IF($M$113="x",1)+IF($M$120="x",2)+IF($M$119="x",2)+IF($M$105="x",1)+IF($M$110="x",1)+IF($M$111="x",2)+IF($M$112="x",4)+IF($M$108="x",1)-IF($M$109="x",1)-IF($M$99="x",1)+IF($M$90="x",1)-5-8
&amp;"/"&amp;SUM($C$3,$I$3)+IF(H503="x",1)+$I$16-$B$10+$M$94+IF($C$77="x",2)-IF($C$78="x",4)-IF($I$78="x",1)-IF($I$77="x",2)-IF($I$90="x",2)+IF($I$83="x",2)-IF($C$76="x",4)-$C$112+IF(H499="x",1)+I499+$M$77+IF(H501="x",1)+IF(J501="x",1)+IF($M$76="x",2)+J499+IF($M$85="x",1)+IF($M$113="x",1)+IF($M$120="x",2)+IF($M$119="x",2)+IF($M$105="x",1)+IF($M$110="x",1)+IF($M$111="x",2)+IF($M$112="x",4)+IF($M$108="x",1)-IF($M$109="x",1)-IF($M$99="x",1)+IF($M$90="x",1)-10-8
&amp;"/"&amp;SUM($C$3,$I$3)+IF(H503="x",1)+$I$16-$B$10+$M$94+IF($C$77="x",2)-IF($C$78="x",4)-IF($I$78="x",1)-IF($I$77="x",2)-IF($I$90="x",2)+IF($I$83="x",2)-IF($C$76="x",4)-$C$112+IF(H499="x",1)+I499+$M$77+IF(H501="x",1)+IF(J501="x",1)+IF($M$76="x",2)+J499+IF($M$85="x",1)+IF($M$113="x",1)+IF($M$120="x",2)+IF($M$119="x",2)+IF($M$105="x",1)+IF($M$110="x",1)+IF($M$111="x",2)+IF($M$112="x",4)+IF($M$108="x",1)-IF($M$109="x",1)-IF($M$99="x",1)+IF($M$90="x",1)-15-8)</f>
        <v>-8</v>
      </c>
      <c r="C507" s="135"/>
      <c r="D507" s="136"/>
      <c r="E507" s="135"/>
      <c r="F507" s="135"/>
      <c r="G507" s="82" t="str">
        <f>(IF($I$89="x","50 %","")&amp;(IF($C$81="x","20 %",""))&amp;(IF($C$82="x","50 %","")))</f>
        <v/>
      </c>
      <c r="H507" s="131"/>
      <c r="I507" s="131"/>
      <c r="J507" s="131"/>
      <c r="K507" s="131"/>
    </row>
    <row r="508" spans="1:38" x14ac:dyDescent="0.2">
      <c r="A508" s="81"/>
      <c r="B508" s="81"/>
      <c r="C508" s="81"/>
      <c r="D508" s="81"/>
      <c r="E508" s="81"/>
      <c r="F508" s="81"/>
      <c r="G508" s="81"/>
      <c r="H508" s="81"/>
      <c r="I508" s="81"/>
      <c r="J508" s="81"/>
      <c r="K508" s="81"/>
      <c r="L508" s="81"/>
      <c r="M508" s="81"/>
      <c r="N508" s="90"/>
    </row>
    <row r="509" spans="1:38" x14ac:dyDescent="0.2">
      <c r="B509" s="15"/>
      <c r="C509" s="15"/>
      <c r="D509" s="15"/>
      <c r="F509" s="15"/>
      <c r="G509" s="15"/>
      <c r="H509" s="15"/>
      <c r="I509" s="15"/>
      <c r="AB509" s="46"/>
      <c r="AC509" s="48"/>
      <c r="AD509" s="48"/>
      <c r="AE509" s="48"/>
      <c r="AF509" s="48"/>
      <c r="AG509" s="48"/>
      <c r="AH509" s="48"/>
      <c r="AI509" s="48"/>
      <c r="AJ509" s="48"/>
      <c r="AK509" s="48"/>
      <c r="AL509" s="48"/>
    </row>
    <row r="510" spans="1:38" x14ac:dyDescent="0.2">
      <c r="A510" s="34" t="s">
        <v>316</v>
      </c>
      <c r="B510" s="15"/>
      <c r="C510" s="15"/>
      <c r="D510" s="15"/>
      <c r="F510" s="15"/>
      <c r="G510" s="15"/>
      <c r="H510" s="15"/>
      <c r="I510" s="15"/>
      <c r="AB510" s="47"/>
      <c r="AC510" s="113"/>
      <c r="AD510" s="114"/>
      <c r="AE510" s="113"/>
      <c r="AF510" s="114"/>
      <c r="AG510" s="114"/>
      <c r="AH510" s="114"/>
      <c r="AI510" s="40"/>
      <c r="AJ510" s="40"/>
      <c r="AK510" s="40"/>
      <c r="AL510" s="40"/>
    </row>
    <row r="511" spans="1:38" x14ac:dyDescent="0.2">
      <c r="A511" s="10"/>
      <c r="B511" s="15"/>
      <c r="C511" s="15"/>
      <c r="D511" s="15"/>
      <c r="F511" s="15"/>
      <c r="G511" s="15"/>
      <c r="H511" s="15"/>
      <c r="I511" s="15"/>
      <c r="AB511" s="47"/>
      <c r="AC511" s="113"/>
      <c r="AD511" s="114"/>
      <c r="AE511" s="113"/>
      <c r="AF511" s="114"/>
      <c r="AG511" s="114"/>
      <c r="AH511" s="114"/>
      <c r="AI511" s="40"/>
      <c r="AJ511" s="40"/>
      <c r="AK511" s="40"/>
      <c r="AL511" s="40"/>
    </row>
    <row r="512" spans="1:38" x14ac:dyDescent="0.2">
      <c r="A512" s="34" t="s">
        <v>317</v>
      </c>
      <c r="B512" s="130" t="s">
        <v>1</v>
      </c>
      <c r="C512" s="130" t="s">
        <v>2</v>
      </c>
      <c r="D512" s="130" t="s">
        <v>3</v>
      </c>
      <c r="E512" s="130" t="s">
        <v>229</v>
      </c>
      <c r="F512" s="130" t="s">
        <v>3</v>
      </c>
      <c r="G512" s="130" t="s">
        <v>45</v>
      </c>
      <c r="H512" s="14" t="s">
        <v>179</v>
      </c>
      <c r="I512" s="130" t="s">
        <v>242</v>
      </c>
      <c r="J512" s="130" t="s">
        <v>224</v>
      </c>
      <c r="K512" s="130" t="s">
        <v>225</v>
      </c>
      <c r="AB512" s="50"/>
      <c r="AC512" s="51"/>
      <c r="AD512" s="49"/>
      <c r="AE512" s="51"/>
      <c r="AF512" s="49"/>
      <c r="AG512" s="49"/>
      <c r="AH512" s="49"/>
      <c r="AI512" s="48"/>
      <c r="AJ512" s="48"/>
      <c r="AK512" s="48"/>
      <c r="AL512" s="48"/>
    </row>
    <row r="513" spans="1:38" x14ac:dyDescent="0.2">
      <c r="A513" s="58" t="s">
        <v>8</v>
      </c>
      <c r="B513" s="119">
        <f>IF($I$85="x","PAINISSA",IF($C$3&lt;=5,SUM($C$3,$I$2)-$C$120+IF($C$75="x",2)+$I$16-$B$10+$M$94+IF($C$77="x",2)-IF($C$78="x",4)-IF($I$78="x",1)-IF($C$79="x",4)+IF($C$80="x",1)-IF($I$77="x",2)-IF($I$90="x",2)+IF($I$83="x",2)-IF($C$75="x",4)-$C$112+IF(H513="x",1)+I513+$M$77+IF(H515="x",1)+IF(J515="x",1)+IF($M$76="x",2)+J513+IF($M$85="x",1)+IF($M$113="x",1)+IF($M$120="x",2)+IF($M$119="x",2)+IF($M$105="x",1)+IF($M$110="x",1)+IF($M$111="x",2)+IF($M$112="x",4)+IF($M$108="x",1)-IF($M$109="x",1)-IF($M$99="x",1)+IF($M$90="x",1),
IF(AND($C$3&gt;5,$C$3&lt;11),SUM($C$3,$I$2)-$C$120+IF($C$75="x",2)+$I$16-$B$10+$M$94+IF($C$77="x",2)-IF($C$78="x",4)-IF($I$78="x",1)-IF($C$79="x",4)+IF($C$80="x",1)-IF($I$77="x",2)-IF($I$90="x",2)+IF($I$83="x",2)-IF($C$83="x",4)-$C$112+IF(H513="x",1)+I513+$M$77+IF(H515="x",1)+IF(J515="x",1)+IF($M$76="x",2)+J513+IF($M$85="x",1)+IF($M$113="x",1)+IF($M$120="x",2)+IF($M$119="x",2)+IF($M$105="x",1)+IF($M$110="x",1)+IF($M$111="x",2)+IF($M$112="x",4)+IF($M$108="x",1)-IF($M$109="x",1)-IF($M$99="x",1)+IF($M$90="x",1)
&amp;"/"&amp;SUM($C$3,$I$2)-$C$120+IF($C$75="x",2)+$I$16-$B$10+$M$94+IF($C$77="x",2)-IF($C$78="x",4)-IF($I$78="x",1)-IF($C$79="x",4)+IF($C$80="x",1)-IF($I$77="x",2)-IF($I$90="x",2)+IF($I$83="x",2)-IF($C$83="x",4)-$C$112-5+IF(H513="x",1)+I513+$M$77+IF(H515="x",1)+IF(J515="x",1)+IF($M$76="x",2)+J513+IF($M$85="x",1)+IF($M$113="x",1)+IF($M$120="x",2)+IF($M$119="x",2)+IF($M$105="x",1)+IF($M$110="x",1)+IF($M$111="x",2)+IF($M$112="x",4)+IF($M$108="x",1)-IF($M$109="x",1)-IF($M$99="x",1)+IF($M$90="x",1),
IF(AND($C$3&gt;10,$C$3&lt;16),SUM($C$3,$I$2)-$C$120+IF($C$75="x",2)+$I$16-$B$10+$M$94+IF($C$77="x",2)-IF($C$78="x",4)-IF($I$78="x",1)-IF($C$79="x",4)+IF($C$80="x",1)-IF($I$77="x",2)-IF($I$90="x",2)+IF($I$83="x",2)-IF($C$83="x",4)-$C$112+IF(H513="x",1)+I513+$M$77+IF(J515="x",1)+IF($M$76="x",2)+J513+IF($M$85="x",1)+IF($M$113="x",1)+IF($M$120="x",2)+IF($M$119="x",2)+IF($M$105="x",1)+IF($M$110="x",1)+IF($M$111="x",2)+IF($M$112="x",4)+IF($M$108="x",1)-IF($M$109="x",1)+IF($M$99="x",20)-IF($M$99="x",1)+IF($M$90="x",1)
&amp;"/"&amp;SUM($C$3,$I$2)-$C$120+IF($C$75="x",2)+$I$16-$B$10+$M$94+IF($C$77="x",2)-IF($C$78="x",4)-IF($I$78="x",1)-IF($C$79="x",4)+IF($C$80="x",1)-IF($I$77="x",2)-IF($I$90="x",2)+IF($I$83="x",2)-IF($C$83="x",4)-$C$112-5+IF(H513="x",1)+I513+$M$77+IF(H515="x",1)+IF(J515="x",1)+IF($M$76="x",2)+J513+IF($M$85="x",1)+IF($M$113="x",1)+IF($M$120="x",2)+IF($M$119="x",2)+IF($M$105="x",1)+IF($M$110="x",1)+IF($M$111="x",2)+IF($M$112="x",4)+IF($M$108="x",1)-IF($M$109="x",1)-IF($M$99="x",1)+IF($M$90="x",1)
&amp;"/"&amp;SUM($C$3,$I$2)-$C$120+IF($C$75="x",2)+$I$16-$B$10+$M$94+IF($C$77="x",2)-IF($C$78="x",4)-IF($I$78="x",1)-IF($C$79="x",4)+IF($C$80="x",1)-IF($I$77="x",2)-IF($I$90="x",2)+IF($I$83="x",2)-IF($C$83="x",4)-$C$112-10+IF(H513="x",1)+I513+$M$77+IF(H515="x",1)+IF(J515="x",1)+IF($M$76="x",2)+J513+IF($M$85="x",1)+IF($M$113="x",1)+IF($M$120="x",2)+IF($M$119="x",2)+IF($M$105="x",1)+IF($M$110="x",1)+IF($M$111="x",2)+IF($M$112="x",4)+IF($M$108="x",1)-IF($M$109="x",1)-IF($M$99="x",1)+IF($M$90="x",1),
IF(AND($C$3&gt;15),SUM($C$3,$I$2)-$C$120+IF($C$75="x",2)+$I$16-$B$10+$M$94+IF($C$77="x",2)-IF($C$78="x",4)-IF($I$78="x",1)-IF($C$79="x",4)+IF($C$80="x",1)-IF($I$77="x",2)-IF($I$90="x",2)+IF($I$83="x",2)-IF($C$83="x",4)-$C$112+IF(H513="x",1)+I513+$M$77+IF(H515="x",1)+IF(J515="x",1)+IF($M$76="x",2)+J513+IF($M$85="x",1)+IF($M$113="x",1)+IF($M$120="x",2)+IF($M$119="x",2)+IF($M$105="x",1)+IF($M$110="x",1)+IF($M$111="x",2)+IF($M$112="x",4)+IF($M$108="x",1)-IF($M$109="x",1)-IF($M$99="x",1)+IF($M$90="x",1)
&amp;"/"&amp;SUM($C$3,$I$2)-$C$120+IF($C$75="x",2)+$I$16-$B$10+$M$94+IF($C$77="x",2)-IF($C$78="x",4)-IF($I$78="x",1)-IF($C$79="x",4)+IF($C$80="x",1)-IF($I$77="x",2)-IF($I$90="x",2)+IF($I$83="x",2)-IF($C$83="x",4)-$C$112-5+IF(H513="x",1)+I513+$M$77+IF(H515="x",1)+IF(J515="x",1)+IF($M$76="x",2)+J513
+IF($M$85="x",1)+IF($M$113="x",1)+IF($M$120="x",2)+IF($M$119="x",2)+IF($M$105="x",1)+IF($M$110="x",1)+IF($M$111="x",2)+IF($M$112="x",4)+IF($M$108="x",1)-IF($M$109="x",1)-IF($M$99="x",1)+IF($M$90="x",1)
&amp;"/"&amp;SUM($C$3,$I$2)-$C$120+IF($C$75="x",2)+$I$16-$B$10+$M$94+IF($C$77="x",2)-IF($C$78="x",4)-IF($I$78="x",1)-IF($C$79="x",4)+IF($C$80="x",1)-IF($I$77="x",2)-IF($I$90="x",2)+IF($I$83="x",2)-IF($C$83="x",4)-$C$112-10+IF(H513="x",1)+I513+$M$77+IF(H515="x",1)+IF(J515="x",1)+IF($M$76="x",2)+J513+IF($M$85="x",1)+IF($M$113="x",1)+IF($M$120="x",2)+IF($M$119="x",2)+IF($M$105="x",1)+IF($M$110="x",1)+IF($M$111="x",2)+IF($M$112="x",4)+IF($M$108="x",1)-IF($M$109="x",1)-IF($M$99="x",1)+IF($M$90="x",1)
&amp;"/"&amp;SUM($C$3,$I$2)-$C$120+IF($C$75="x",2)+$I$16-$B$10+$M$94+IF($C$77="x",2)-IF($C$78="x",4)-IF($I$78="x",1)-IF($C$79="x",4)+IF($C$80="x",1)-IF($I$77="x",2)-IF($I$90="x",2)+IF($I$83="x",2)-IF($C$83="x",4)-$C$112-15+IF(H513="x",1)+I513+$M$77+IF(H515="x",1)+IF(J515="x",1)+IF($M$76="x",2)+J513+IF($M$85="x",1)+IF($M$113="x",1)+IF($M$120="x",2)+IF($M$119="x",2)+IF($M$105="x",1)+IF($M$110="x",1)+IF($M$111="x",2)+IF($M$112="x",4)+IF($M$108="x",1)-IF($M$109="x",1)-IF($M$99="x",1)+IF($M$90="x",1))))))</f>
        <v>0</v>
      </c>
      <c r="C513" s="114" t="str">
        <f>_xlfn.IFS($C$7="Minimaalinen","1n3",$C$7="Taskukokoinen","1n4",$C$7="Hyvin pieni","1n6",$C$7="Pieni","1n8",$C$7="Keskikokoinen","1n10",$C$7="Iso","2n8",$C$7="Valtava","3n8",$C$7="Suunnaton","4n8",$C$7="Giganttinen","6n8")</f>
        <v>1n10</v>
      </c>
      <c r="D513" s="119">
        <f>IF($I$2&lt;0,$I$2,INT($I$2*1.5))+($C$120*2)+I513+$M$77+IF(I515="x",2)+IF(K515="x",2)+IF($M$119="x",2)+IF($M$108="x",1)+$M$94-IF($M$109="x",1)+K513</f>
        <v>0</v>
      </c>
      <c r="E513" s="114" t="str">
        <f>_xlfn.IFS($C$7="Minimaalinen","3n3",$C$7="Taskukokoinen","3n4",$C$7="Hyvin pieni","3n6",$C$7="Pieni","3n8",$C$7="Keskikokoinen","3n10",$C$7="Iso","6n8",$C$7="Valtava","9n8",$C$7="Suunnaton","12n8",$C$7="Giganttinen","18n8")</f>
        <v>3n10</v>
      </c>
      <c r="F513" s="120">
        <f>SUM(D513*3)</f>
        <v>0</v>
      </c>
      <c r="G513" s="120" t="str">
        <f>(IF($I$89="x","50 %","")&amp;(IF($C$81="x","20 %",""))&amp;(IF($C$82="x","50 %","")))</f>
        <v/>
      </c>
      <c r="H513" s="28"/>
      <c r="I513" s="17">
        <v>0</v>
      </c>
      <c r="J513" s="17">
        <v>0</v>
      </c>
      <c r="K513" s="17">
        <v>0</v>
      </c>
      <c r="AB513" s="52"/>
      <c r="AC513" s="53"/>
      <c r="AD513" s="54"/>
      <c r="AE513" s="53"/>
      <c r="AF513" s="54"/>
      <c r="AG513" s="54"/>
      <c r="AH513" s="54"/>
      <c r="AI513" s="114"/>
      <c r="AJ513" s="114"/>
      <c r="AK513" s="114"/>
      <c r="AL513" s="114"/>
    </row>
    <row r="514" spans="1:38" x14ac:dyDescent="0.2">
      <c r="B514" s="15"/>
      <c r="C514" s="15"/>
      <c r="D514" s="15"/>
      <c r="F514" s="15"/>
      <c r="G514" s="15"/>
      <c r="H514" s="14" t="s">
        <v>220</v>
      </c>
      <c r="I514" s="14" t="s">
        <v>221</v>
      </c>
      <c r="J514" s="14" t="s">
        <v>222</v>
      </c>
      <c r="K514" s="14" t="s">
        <v>223</v>
      </c>
    </row>
    <row r="515" spans="1:38" x14ac:dyDescent="0.2">
      <c r="B515" s="15"/>
      <c r="C515" s="15"/>
      <c r="D515" s="15"/>
      <c r="F515" s="15"/>
      <c r="G515" s="15"/>
      <c r="H515" s="28"/>
      <c r="I515" s="28"/>
      <c r="J515" s="28"/>
      <c r="K515" s="28"/>
    </row>
    <row r="516" spans="1:38" x14ac:dyDescent="0.2">
      <c r="B516" s="15"/>
      <c r="C516" s="15"/>
      <c r="D516" s="15"/>
      <c r="F516" s="15"/>
      <c r="G516" s="15"/>
      <c r="H516" s="15"/>
      <c r="I516" s="15"/>
      <c r="AB516" s="46"/>
      <c r="AC516" s="48"/>
      <c r="AD516" s="48"/>
      <c r="AE516" s="48"/>
      <c r="AF516" s="48"/>
      <c r="AG516" s="48"/>
      <c r="AH516" s="48"/>
      <c r="AI516" s="48"/>
      <c r="AJ516" s="48"/>
      <c r="AK516" s="48"/>
      <c r="AL516" s="48"/>
    </row>
    <row r="517" spans="1:38" x14ac:dyDescent="0.2">
      <c r="B517" s="15"/>
      <c r="C517" s="15"/>
      <c r="D517" s="15"/>
      <c r="F517" s="15"/>
      <c r="G517" s="15"/>
      <c r="H517" s="15"/>
      <c r="I517" s="15"/>
      <c r="AB517" s="47"/>
      <c r="AC517" s="113"/>
      <c r="AD517" s="114"/>
      <c r="AE517" s="113"/>
      <c r="AF517" s="114"/>
      <c r="AG517" s="114"/>
      <c r="AH517" s="114"/>
      <c r="AI517" s="40"/>
      <c r="AJ517" s="40"/>
      <c r="AK517" s="40"/>
      <c r="AL517" s="40"/>
    </row>
    <row r="518" spans="1:38" x14ac:dyDescent="0.2">
      <c r="A518" s="134" t="s">
        <v>318</v>
      </c>
      <c r="B518" s="130" t="s">
        <v>1</v>
      </c>
      <c r="C518" s="130" t="s">
        <v>2</v>
      </c>
      <c r="D518" s="130" t="s">
        <v>3</v>
      </c>
      <c r="E518" s="130" t="s">
        <v>229</v>
      </c>
      <c r="F518" s="130" t="s">
        <v>3</v>
      </c>
      <c r="G518" s="130" t="s">
        <v>45</v>
      </c>
      <c r="H518" s="14" t="s">
        <v>179</v>
      </c>
      <c r="I518" s="130" t="s">
        <v>242</v>
      </c>
      <c r="J518" s="130" t="s">
        <v>224</v>
      </c>
      <c r="K518" s="130" t="s">
        <v>225</v>
      </c>
      <c r="AB518" s="50"/>
      <c r="AC518" s="51"/>
      <c r="AD518" s="49"/>
      <c r="AE518" s="51"/>
      <c r="AF518" s="49"/>
      <c r="AG518" s="49"/>
      <c r="AH518" s="49"/>
      <c r="AI518" s="48"/>
      <c r="AJ518" s="48"/>
      <c r="AK518" s="48"/>
      <c r="AL518" s="48"/>
    </row>
    <row r="519" spans="1:38" x14ac:dyDescent="0.2">
      <c r="A519" s="58" t="s">
        <v>8</v>
      </c>
      <c r="B519" s="119">
        <f>IF($I$85="x","PAINISSA",IF($C$3&lt;=5,SUM($C$3,$I$2)-$C$120+IF($C$75="x",2)+$I$16-$B$10+$M$94+IF($C$77="x",2)-IF($C$78="x",4)-IF($I$78="x",1)-IF($C$79="x",4)+IF($C$80="x",1)-IF($I$77="x",2)-IF($I$90="x",2)+IF($I$83="x",2)-IF($C$75="x",4)-$C$112+IF(H519="x",1)+I519+$M$77+IF(H521="x",1)+IF(J521="x",1)+IF($M$76="x",2)+J519+IF($M$85="x",1)+IF($M$113="x",1)+IF($M$120="x",2)+IF($M$119="x",2)+IF($M$105="x",1)+IF($M$110="x",1)+IF($M$111="x",2)+IF($M$112="x",4)+IF($M$108="x",1)-IF($M$109="x",1)-IF($M$99="x",1)+IF($M$90="x",1),
IF(AND($C$3&gt;5,$C$3&lt;11),SUM($C$3,$I$2)-$C$120+IF($C$75="x",2)+$I$16-$B$10+$M$94+IF($C$77="x",2)-IF($C$78="x",4)-IF($I$78="x",1)-IF($C$79="x",4)+IF($C$80="x",1)-IF($I$77="x",2)-IF($I$90="x",2)+IF($I$83="x",2)-IF($C$83="x",4)-$C$112+IF(H519="x",1)+I519+$M$77+IF(H521="x",1)+IF(J521="x",1)+IF($M$76="x",2)+J519+IF($M$85="x",1)+IF($M$113="x",1)+IF($M$120="x",2)+IF($M$119="x",2)+IF($M$105="x",1)+IF($M$110="x",1)+IF($M$111="x",2)+IF($M$112="x",4)+IF($M$108="x",1)-IF($M$109="x",1)-IF($M$99="x",1)+IF($M$90="x",1)
&amp;"/"&amp;SUM($C$3,$I$2)-$C$120+IF($C$75="x",2)+$I$16-$B$10+$M$94+IF($C$77="x",2)-IF($C$78="x",4)-IF($I$78="x",1)-IF($C$79="x",4)+IF($C$80="x",1)-IF($I$77="x",2)-IF($I$90="x",2)+IF($I$83="x",2)-IF($C$83="x",4)-$C$112-5+IF(H519="x",1)+I519+$M$77+IF(H521="x",1)+IF(J521="x",1)+IF($M$76="x",2)+J519+IF($M$85="x",1)+IF($M$113="x",1)+IF($M$120="x",2)+IF($M$119="x",2)+IF($M$105="x",1)+IF($M$110="x",1)+IF($M$111="x",2)+IF($M$112="x",4)+IF($M$108="x",1)-IF($M$109="x",1)-IF($M$99="x",1)+IF($M$90="x",1),
IF(AND($C$3&gt;10,$C$3&lt;16),SUM($C$3,$I$2)-$C$120+IF($C$75="x",2)+$I$16-$B$10+$M$94+IF($C$77="x",2)-IF($C$78="x",4)-IF($I$78="x",1)-IF($C$79="x",4)+IF($C$80="x",1)-IF($I$77="x",2)-IF($I$90="x",2)+IF($I$83="x",2)-IF($C$83="x",4)-$C$112+IF(H519="x",1)+I519+$M$77+IF(J521="x",1)+IF($M$76="x",2)+J519+IF($M$85="x",1)+IF($M$113="x",1)+IF($M$120="x",2)+IF($M$119="x",2)+IF($M$105="x",1)+IF($M$110="x",1)+IF($M$111="x",2)+IF($M$112="x",4)+IF($M$108="x",1)-IF($M$109="x",1)+IF($M$99="x",20)-IF($M$99="x",1)+IF($M$90="x",1)
&amp;"/"&amp;SUM($C$3,$I$2)-$C$120+IF($C$75="x",2)+$I$16-$B$10+$M$94+IF($C$77="x",2)-IF($C$78="x",4)-IF($I$78="x",1)-IF($C$79="x",4)+IF($C$80="x",1)-IF($I$77="x",2)-IF($I$90="x",2)+IF($I$83="x",2)-IF($C$83="x",4)-$C$112-5+IF(H519="x",1)+I519+$M$77+IF(H521="x",1)+IF(J521="x",1)+IF($M$76="x",2)+J519+IF($M$85="x",1)+IF($M$113="x",1)+IF($M$120="x",2)+IF($M$119="x",2)+IF($M$105="x",1)+IF($M$110="x",1)+IF($M$111="x",2)+IF($M$112="x",4)+IF($M$108="x",1)-IF($M$109="x",1)-IF($M$99="x",1)+IF($M$90="x",1)
&amp;"/"&amp;SUM($C$3,$I$2)-$C$120+IF($C$75="x",2)+$I$16-$B$10+$M$94+IF($C$77="x",2)-IF($C$78="x",4)-IF($I$78="x",1)-IF($C$79="x",4)+IF($C$80="x",1)-IF($I$77="x",2)-IF($I$90="x",2)+IF($I$83="x",2)-IF($C$83="x",4)-$C$112-10+IF(H519="x",1)+I519+$M$77+IF(H521="x",1)+IF(J521="x",1)+IF($M$76="x",2)+J519+IF($M$85="x",1)+IF($M$113="x",1)+IF($M$120="x",2)+IF($M$119="x",2)+IF($M$105="x",1)+IF($M$110="x",1)+IF($M$111="x",2)+IF($M$112="x",4)+IF($M$108="x",1)-IF($M$109="x",1)-IF($M$99="x",1)+IF($M$90="x",1),
IF(AND($C$3&gt;15),SUM($C$3,$I$2)-$C$120+IF($C$75="x",2)+$I$16-$B$10+$M$94+IF($C$77="x",2)-IF($C$78="x",4)-IF($I$78="x",1)-IF($C$79="x",4)+IF($C$80="x",1)-IF($I$77="x",2)-IF($I$90="x",2)+IF($I$83="x",2)-IF($C$83="x",4)-$C$112+IF(H519="x",1)+I519+$M$77+IF(H521="x",1)+IF(J521="x",1)+IF($M$76="x",2)+J519+IF($M$85="x",1)+IF($M$113="x",1)+IF($M$120="x",2)+IF($M$119="x",2)+IF($M$105="x",1)+IF($M$110="x",1)+IF($M$111="x",2)+IF($M$112="x",4)+IF($M$108="x",1)-IF($M$109="x",1)-IF($M$99="x",1)+IF($M$90="x",1)
&amp;"/"&amp;SUM($C$3,$I$2)-$C$120+IF($C$75="x",2)+$I$16-$B$10+$M$94+IF($C$77="x",2)-IF($C$78="x",4)-IF($I$78="x",1)-IF($C$79="x",4)+IF($C$80="x",1)-IF($I$77="x",2)-IF($I$90="x",2)+IF($I$83="x",2)-IF($C$83="x",4)-$C$112-5+IF(H519="x",1)+I519+$M$77+IF(H521="x",1)+IF(J521="x",1)+IF($M$76="x",2)+J519
+IF($M$85="x",1)+IF($M$113="x",1)+IF($M$120="x",2)+IF($M$119="x",2)+IF($M$105="x",1)+IF($M$110="x",1)+IF($M$111="x",2)+IF($M$112="x",4)+IF($M$108="x",1)-IF($M$109="x",1)-IF($M$99="x",1)+IF($M$90="x",1)
&amp;"/"&amp;SUM($C$3,$I$2)-$C$120+IF($C$75="x",2)+$I$16-$B$10+$M$94+IF($C$77="x",2)-IF($C$78="x",4)-IF($I$78="x",1)-IF($C$79="x",4)+IF($C$80="x",1)-IF($I$77="x",2)-IF($I$90="x",2)+IF($I$83="x",2)-IF($C$83="x",4)-$C$112-10+IF(H519="x",1)+I519+$M$77+IF(H521="x",1)+IF(J521="x",1)+IF($M$76="x",2)+J519+IF($M$85="x",1)+IF($M$113="x",1)+IF($M$120="x",2)+IF($M$119="x",2)+IF($M$105="x",1)+IF($M$110="x",1)+IF($M$111="x",2)+IF($M$112="x",4)+IF($M$108="x",1)-IF($M$109="x",1)-IF($M$99="x",1)+IF($M$90="x",1)
&amp;"/"&amp;SUM($C$3,$I$2)-$C$120+IF($C$75="x",2)+$I$16-$B$10+$M$94+IF($C$77="x",2)-IF($C$78="x",4)-IF($I$78="x",1)-IF($C$79="x",4)+IF($C$80="x",1)-IF($I$77="x",2)-IF($I$90="x",2)+IF($I$83="x",2)-IF($C$83="x",4)-$C$112-15+IF(H519="x",1)+I519+$M$77+IF(H521="x",1)+IF(J521="x",1)+IF($M$76="x",2)+J519+IF($M$85="x",1)+IF($M$113="x",1)+IF($M$120="x",2)+IF($M$119="x",2)+IF($M$105="x",1)+IF($M$110="x",1)+IF($M$111="x",2)+IF($M$112="x",4)+IF($M$108="x",1)-IF($M$109="x",1)-IF($M$99="x",1)+IF($M$90="x",1))))))</f>
        <v>0</v>
      </c>
      <c r="C519" s="114" t="str">
        <f>_xlfn.IFS($C$7="Minimaalinen","1n4",$C$7="Taskukokoinen","1n6",$C$7="Hyvin pieni","1n8",$C$7="Pieni","1n10",$C$7="Keskikokoinen","1n12",$C$7="Iso","3n6",$C$7="Valtava","4n6",$C$7="Suunnaton","6n6",$C$7="Giganttinen","8n6")</f>
        <v>1n12</v>
      </c>
      <c r="D519" s="119">
        <f>IF($I$2&lt;0,$I$2,INT($I$2*1.5))+($C$120*2)+I519+$M$77+IF(I521="x",2)+IF(K521="x",2)+IF($M$119="x",2)+IF($M$108="x",1)+$M$94-IF($M$109="x",1)+K519</f>
        <v>0</v>
      </c>
      <c r="E519" s="114" t="str">
        <f>_xlfn.IFS($C$7="Minimaalinen","3n4",$C$7="Taskukokoinen","3n6",$C$7="Hyvin pieni","3n8",$C$7="Pieni","3n10",$C$7="Keskikokoinen","3n12",$C$7="Iso","9n6",$C$7="Valtava","12n6",$C$7="Suunnaton","18n6",$C$7="Giganttinen","24n6")</f>
        <v>3n12</v>
      </c>
      <c r="F519" s="120">
        <f>SUM(D519*3)</f>
        <v>0</v>
      </c>
      <c r="G519" s="120" t="str">
        <f>(IF($I$89="x","50 %","")&amp;(IF($C$81="x","20 %",""))&amp;(IF($C$82="x","50 %","")))</f>
        <v/>
      </c>
      <c r="H519" s="28"/>
      <c r="I519" s="17">
        <v>0</v>
      </c>
      <c r="J519" s="17">
        <v>0</v>
      </c>
      <c r="K519" s="17">
        <v>0</v>
      </c>
      <c r="AB519" s="52"/>
      <c r="AC519" s="53"/>
      <c r="AD519" s="54"/>
      <c r="AE519" s="53"/>
      <c r="AF519" s="54"/>
      <c r="AG519" s="54"/>
      <c r="AH519" s="54"/>
      <c r="AI519" s="114"/>
      <c r="AJ519" s="114"/>
      <c r="AK519" s="114"/>
      <c r="AL519" s="114"/>
    </row>
    <row r="520" spans="1:38" x14ac:dyDescent="0.2">
      <c r="B520" s="15"/>
      <c r="C520" s="15"/>
      <c r="D520" s="15"/>
      <c r="F520" s="15"/>
      <c r="G520" s="15"/>
      <c r="H520" s="14" t="s">
        <v>220</v>
      </c>
      <c r="I520" s="14" t="s">
        <v>221</v>
      </c>
      <c r="J520" s="14" t="s">
        <v>222</v>
      </c>
      <c r="K520" s="14" t="s">
        <v>223</v>
      </c>
    </row>
    <row r="521" spans="1:38" x14ac:dyDescent="0.2">
      <c r="B521" s="15"/>
      <c r="C521" s="15"/>
      <c r="D521" s="15"/>
      <c r="F521" s="15"/>
      <c r="G521" s="15"/>
      <c r="H521" s="28"/>
      <c r="I521" s="28"/>
      <c r="J521" s="28"/>
      <c r="K521" s="28"/>
    </row>
    <row r="522" spans="1:38" x14ac:dyDescent="0.2">
      <c r="B522" s="15"/>
      <c r="C522" s="15"/>
      <c r="D522" s="15"/>
      <c r="F522" s="15"/>
      <c r="G522" s="15"/>
      <c r="H522" s="15"/>
      <c r="I522" s="15"/>
      <c r="AB522" s="46"/>
      <c r="AC522" s="48"/>
      <c r="AD522" s="48"/>
      <c r="AE522" s="48"/>
      <c r="AF522" s="48"/>
      <c r="AG522" s="48"/>
      <c r="AH522" s="48"/>
      <c r="AI522" s="48"/>
      <c r="AJ522" s="48"/>
      <c r="AK522" s="48"/>
      <c r="AL522" s="48"/>
    </row>
    <row r="523" spans="1:38" x14ac:dyDescent="0.2">
      <c r="B523" s="15"/>
      <c r="C523" s="15"/>
      <c r="D523" s="15"/>
      <c r="F523" s="15"/>
      <c r="G523" s="15"/>
      <c r="H523" s="15"/>
      <c r="I523" s="15"/>
      <c r="AB523" s="47"/>
      <c r="AC523" s="113"/>
      <c r="AD523" s="114"/>
      <c r="AE523" s="113"/>
      <c r="AF523" s="114"/>
      <c r="AG523" s="114"/>
      <c r="AH523" s="114"/>
      <c r="AI523" s="40"/>
      <c r="AJ523" s="40"/>
      <c r="AK523" s="40"/>
      <c r="AL523" s="40"/>
    </row>
    <row r="524" spans="1:38" x14ac:dyDescent="0.2">
      <c r="A524" s="134" t="s">
        <v>319</v>
      </c>
      <c r="B524" s="130" t="s">
        <v>1</v>
      </c>
      <c r="C524" s="130" t="s">
        <v>2</v>
      </c>
      <c r="D524" s="130" t="s">
        <v>3</v>
      </c>
      <c r="E524" s="130" t="s">
        <v>229</v>
      </c>
      <c r="F524" s="130" t="s">
        <v>3</v>
      </c>
      <c r="G524" s="130" t="s">
        <v>45</v>
      </c>
      <c r="H524" s="14" t="s">
        <v>179</v>
      </c>
      <c r="I524" s="130" t="s">
        <v>242</v>
      </c>
      <c r="J524" s="130" t="s">
        <v>224</v>
      </c>
      <c r="K524" s="130" t="s">
        <v>225</v>
      </c>
      <c r="AB524" s="50"/>
      <c r="AC524" s="51"/>
      <c r="AD524" s="49"/>
      <c r="AE524" s="51"/>
      <c r="AF524" s="49"/>
      <c r="AG524" s="49"/>
      <c r="AH524" s="49"/>
      <c r="AI524" s="48"/>
      <c r="AJ524" s="48"/>
      <c r="AK524" s="48"/>
      <c r="AL524" s="48"/>
    </row>
    <row r="525" spans="1:38" x14ac:dyDescent="0.2">
      <c r="A525" s="58" t="s">
        <v>8</v>
      </c>
      <c r="B525" s="119">
        <f>IF($I$85="x","PAINISSA",IF($C$3&lt;=5,SUM($C$3,$I$2)-$C$120+IF($C$75="x",2)+$I$16-$B$10+$M$94+IF($C$77="x",2)-IF($C$78="x",4)-IF($I$78="x",1)-IF($C$79="x",4)+IF($C$80="x",1)-IF($I$77="x",2)-IF($I$90="x",2)+IF($I$83="x",2)-IF($C$75="x",4)-$C$112+IF(H525="x",1)+I525+$M$77+IF(H527="x",1)+IF(J527="x",1)+IF($M$76="x",2)+J525+IF($M$85="x",1)+IF($M$113="x",1)+IF($M$120="x",2)+IF($M$119="x",2)+IF($M$105="x",1)+IF($M$110="x",1)+IF($M$111="x",2)+IF($M$112="x",4)+IF($M$108="x",1)-IF($M$109="x",1)-IF($M$99="x",1)+IF($M$90="x",1),
IF(AND($C$3&gt;5,$C$3&lt;11),SUM($C$3,$I$2)-$C$120+IF($C$75="x",2)+$I$16-$B$10+$M$94+IF($C$77="x",2)-IF($C$78="x",4)-IF($I$78="x",1)-IF($C$79="x",4)+IF($C$80="x",1)-IF($I$77="x",2)-IF($I$90="x",2)+IF($I$83="x",2)-IF($C$83="x",4)-$C$112+IF(H525="x",1)+I525+$M$77+IF(H527="x",1)+IF(J527="x",1)+IF($M$76="x",2)+J525+IF($M$85="x",1)+IF($M$113="x",1)+IF($M$120="x",2)+IF($M$119="x",2)+IF($M$105="x",1)+IF($M$110="x",1)+IF($M$111="x",2)+IF($M$112="x",4)+IF($M$108="x",1)-IF($M$109="x",1)-IF($M$99="x",1)+IF($M$90="x",1)
&amp;"/"&amp;SUM($C$3,$I$2)-$C$120+IF($C$75="x",2)+$I$16-$B$10+$M$94+IF($C$77="x",2)-IF($C$78="x",4)-IF($I$78="x",1)-IF($C$79="x",4)+IF($C$80="x",1)-IF($I$77="x",2)-IF($I$90="x",2)+IF($I$83="x",2)-IF($C$83="x",4)-$C$112-5+IF(H525="x",1)+I525+$M$77+IF(H527="x",1)+IF(J527="x",1)+IF($M$76="x",2)+J525+IF($M$85="x",1)+IF($M$113="x",1)+IF($M$120="x",2)+IF($M$119="x",2)+IF($M$105="x",1)+IF($M$110="x",1)+IF($M$111="x",2)+IF($M$112="x",4)+IF($M$108="x",1)-IF($M$109="x",1)-IF($M$99="x",1)+IF($M$90="x",1),
IF(AND($C$3&gt;10,$C$3&lt;16),SUM($C$3,$I$2)-$C$120+IF($C$75="x",2)+$I$16-$B$10+$M$94+IF($C$77="x",2)-IF($C$78="x",4)-IF($I$78="x",1)-IF($C$79="x",4)+IF($C$80="x",1)-IF($I$77="x",2)-IF($I$90="x",2)+IF($I$83="x",2)-IF($C$83="x",4)-$C$112+IF(H525="x",1)+I525+$M$77+IF(J527="x",1)+IF($M$76="x",2)+J525+IF($M$85="x",1)+IF($M$113="x",1)+IF($M$120="x",2)+IF($M$119="x",2)+IF($M$105="x",1)+IF($M$110="x",1)+IF($M$111="x",2)+IF($M$112="x",4)+IF($M$108="x",1)-IF($M$109="x",1)+IF($M$99="x",20)-IF($M$99="x",1)+IF($M$90="x",1)
&amp;"/"&amp;SUM($C$3,$I$2)-$C$120+IF($C$75="x",2)+$I$16-$B$10+$M$94+IF($C$77="x",2)-IF($C$78="x",4)-IF($I$78="x",1)-IF($C$79="x",4)+IF($C$80="x",1)-IF($I$77="x",2)-IF($I$90="x",2)+IF($I$83="x",2)-IF($C$83="x",4)-$C$112-5+IF(H525="x",1)+I525+$M$77+IF(H527="x",1)+IF(J527="x",1)+IF($M$76="x",2)+J525+IF($M$85="x",1)+IF($M$113="x",1)+IF($M$120="x",2)+IF($M$119="x",2)+IF($M$105="x",1)+IF($M$110="x",1)+IF($M$111="x",2)+IF($M$112="x",4)+IF($M$108="x",1)-IF($M$109="x",1)-IF($M$99="x",1)+IF($M$90="x",1)
&amp;"/"&amp;SUM($C$3,$I$2)-$C$120+IF($C$75="x",2)+$I$16-$B$10+$M$94+IF($C$77="x",2)-IF($C$78="x",4)-IF($I$78="x",1)-IF($C$79="x",4)+IF($C$80="x",1)-IF($I$77="x",2)-IF($I$90="x",2)+IF($I$83="x",2)-IF($C$83="x",4)-$C$112-10+IF(H525="x",1)+I525+$M$77+IF(H527="x",1)+IF(J527="x",1)+IF($M$76="x",2)+J525+IF($M$85="x",1)+IF($M$113="x",1)+IF($M$120="x",2)+IF($M$119="x",2)+IF($M$105="x",1)+IF($M$110="x",1)+IF($M$111="x",2)+IF($M$112="x",4)+IF($M$108="x",1)-IF($M$109="x",1)-IF($M$99="x",1)+IF($M$90="x",1),
IF(AND($C$3&gt;15),SUM($C$3,$I$2)-$C$120+IF($C$75="x",2)+$I$16-$B$10+$M$94+IF($C$77="x",2)-IF($C$78="x",4)-IF($I$78="x",1)-IF($C$79="x",4)+IF($C$80="x",1)-IF($I$77="x",2)-IF($I$90="x",2)+IF($I$83="x",2)-IF($C$83="x",4)-$C$112+IF(H525="x",1)+I525+$M$77+IF(H527="x",1)+IF(J527="x",1)+IF($M$76="x",2)+J525+IF($M$85="x",1)+IF($M$113="x",1)+IF($M$120="x",2)+IF($M$119="x",2)+IF($M$105="x",1)+IF($M$110="x",1)+IF($M$111="x",2)+IF($M$112="x",4)+IF($M$108="x",1)-IF($M$109="x",1)-IF($M$99="x",1)+IF($M$90="x",1)
&amp;"/"&amp;SUM($C$3,$I$2)-$C$120+IF($C$75="x",2)+$I$16-$B$10+$M$94+IF($C$77="x",2)-IF($C$78="x",4)-IF($I$78="x",1)-IF($C$79="x",4)+IF($C$80="x",1)-IF($I$77="x",2)-IF($I$90="x",2)+IF($I$83="x",2)-IF($C$83="x",4)-$C$112-5+IF(H525="x",1)+I525+$M$77+IF(H527="x",1)+IF(J527="x",1)+IF($M$76="x",2)+J525
+IF($M$85="x",1)+IF($M$113="x",1)+IF($M$120="x",2)+IF($M$119="x",2)+IF($M$105="x",1)+IF($M$110="x",1)+IF($M$111="x",2)+IF($M$112="x",4)+IF($M$108="x",1)-IF($M$109="x",1)-IF($M$99="x",1)+IF($M$90="x",1)
&amp;"/"&amp;SUM($C$3,$I$2)-$C$120+IF($C$75="x",2)+$I$16-$B$10+$M$94+IF($C$77="x",2)-IF($C$78="x",4)-IF($I$78="x",1)-IF($C$79="x",4)+IF($C$80="x",1)-IF($I$77="x",2)-IF($I$90="x",2)+IF($I$83="x",2)-IF($C$83="x",4)-$C$112-10+IF(H525="x",1)+I525+$M$77+IF(H527="x",1)+IF(J527="x",1)+IF($M$76="x",2)+J525+IF($M$85="x",1)+IF($M$113="x",1)+IF($M$120="x",2)+IF($M$119="x",2)+IF($M$105="x",1)+IF($M$110="x",1)+IF($M$111="x",2)+IF($M$112="x",4)+IF($M$108="x",1)-IF($M$109="x",1)-IF($M$99="x",1)+IF($M$90="x",1)
&amp;"/"&amp;SUM($C$3,$I$2)-$C$120+IF($C$75="x",2)+$I$16-$B$10+$M$94+IF($C$77="x",2)-IF($C$78="x",4)-IF($I$78="x",1)-IF($C$79="x",4)+IF($C$80="x",1)-IF($I$77="x",2)-IF($I$90="x",2)+IF($I$83="x",2)-IF($C$83="x",4)-$C$112-15+IF(H525="x",1)+I525+$M$77+IF(H527="x",1)+IF(J527="x",1)+IF($M$76="x",2)+J525+IF($M$85="x",1)+IF($M$113="x",1)+IF($M$120="x",2)+IF($M$119="x",2)+IF($M$105="x",1)+IF($M$110="x",1)+IF($M$111="x",2)+IF($M$112="x",4)+IF($M$108="x",1)-IF($M$109="x",1)-IF($M$99="x",1)+IF($M$90="x",1))))))</f>
        <v>0</v>
      </c>
      <c r="C525" s="114" t="str">
        <f>_xlfn.IFS($C$7="Minimaalinen","1n3",$C$7="Taskukokoinen","1n4",$C$7="Hyvin pieni","1n6",$C$7="Pieni","1n8",$C$7="Keskikokoinen","1n10",$C$7="Iso","2n8",$C$7="Valtava","3n8",$C$7="Suunnaton","4n8",$C$7="Giganttinen","6n8")</f>
        <v>1n10</v>
      </c>
      <c r="D525" s="119">
        <f>IF($I$2&lt;0,$I$2,INT($I$2*1.5))+($C$120*2)+I525+$M$77+IF(I527="x",2)+IF(K527="x",2)+IF($M$119="x",2)+IF($M$108="x",1)+$M$94-IF($M$109="x",1)+K525</f>
        <v>0</v>
      </c>
      <c r="E525" s="114" t="str">
        <f>_xlfn.IFS($C$7="Minimaalinen","2n3",$C$7="Taskukokoinen","2n4",$C$7="Hyvin pieni","2n6",$C$7="Pieni","2n8",$C$7="Keskikokoinen","2n10",$C$7="Iso","4n8",$C$7="Valtava","6n8",$C$7="Suunnaton","8n8",$C$7="Giganttinen","12n8")</f>
        <v>2n10</v>
      </c>
      <c r="F525" s="120">
        <f>SUM(D525*2)</f>
        <v>0</v>
      </c>
      <c r="G525" s="120" t="str">
        <f>(IF($I$89="x","50 %","")&amp;(IF($C$81="x","20 %",""))&amp;(IF($C$82="x","50 %","")))</f>
        <v/>
      </c>
      <c r="H525" s="28"/>
      <c r="I525" s="17">
        <v>0</v>
      </c>
      <c r="J525" s="17">
        <v>0</v>
      </c>
      <c r="K525" s="17">
        <v>0</v>
      </c>
      <c r="AB525" s="52"/>
      <c r="AC525" s="53"/>
      <c r="AD525" s="54"/>
      <c r="AE525" s="53"/>
      <c r="AF525" s="54"/>
      <c r="AG525" s="54"/>
      <c r="AH525" s="54"/>
      <c r="AI525" s="114"/>
      <c r="AJ525" s="114"/>
      <c r="AK525" s="114"/>
      <c r="AL525" s="114"/>
    </row>
    <row r="526" spans="1:38" x14ac:dyDescent="0.2">
      <c r="B526" s="15"/>
      <c r="C526" s="15"/>
      <c r="D526" s="15"/>
      <c r="F526" s="15"/>
      <c r="G526" s="15"/>
      <c r="H526" s="14" t="s">
        <v>220</v>
      </c>
      <c r="I526" s="14" t="s">
        <v>221</v>
      </c>
      <c r="J526" s="14" t="s">
        <v>222</v>
      </c>
      <c r="K526" s="14" t="s">
        <v>223</v>
      </c>
      <c r="AB526" s="46"/>
      <c r="AC526" s="48"/>
      <c r="AD526" s="48"/>
      <c r="AE526" s="48"/>
      <c r="AF526" s="48"/>
      <c r="AG526" s="48"/>
      <c r="AH526" s="48"/>
      <c r="AI526" s="48"/>
      <c r="AJ526" s="48"/>
      <c r="AK526" s="48"/>
      <c r="AL526" s="48"/>
    </row>
    <row r="527" spans="1:38" x14ac:dyDescent="0.2">
      <c r="B527" s="15"/>
      <c r="C527" s="15"/>
      <c r="D527" s="15"/>
      <c r="F527" s="15"/>
      <c r="G527" s="15"/>
      <c r="H527" s="28"/>
      <c r="I527" s="28"/>
      <c r="J527" s="28"/>
      <c r="K527" s="28"/>
      <c r="AB527" s="47"/>
      <c r="AC527" s="113"/>
      <c r="AD527" s="114"/>
      <c r="AE527" s="113"/>
      <c r="AF527" s="114"/>
      <c r="AG527" s="114"/>
      <c r="AH527" s="114"/>
      <c r="AI527" s="40"/>
      <c r="AJ527" s="40"/>
      <c r="AK527" s="40"/>
      <c r="AL527" s="40"/>
    </row>
    <row r="528" spans="1:38" x14ac:dyDescent="0.2">
      <c r="B528" s="15"/>
      <c r="C528" s="15"/>
      <c r="D528" s="15"/>
      <c r="F528" s="15"/>
      <c r="G528" s="15"/>
      <c r="H528" s="15"/>
      <c r="I528" s="15"/>
      <c r="AB528" s="46"/>
      <c r="AC528" s="50"/>
      <c r="AD528" s="50"/>
      <c r="AE528" s="50"/>
      <c r="AF528" s="50"/>
      <c r="AG528" s="50"/>
      <c r="AH528" s="50"/>
      <c r="AI528" s="50"/>
      <c r="AJ528" s="50"/>
      <c r="AK528" s="50"/>
      <c r="AL528" s="50"/>
    </row>
    <row r="529" spans="1:38" x14ac:dyDescent="0.2">
      <c r="B529" s="15"/>
      <c r="C529" s="15"/>
      <c r="D529" s="15"/>
      <c r="F529" s="15"/>
      <c r="G529" s="15"/>
      <c r="H529" s="15"/>
      <c r="I529" s="15"/>
      <c r="AB529" s="46"/>
      <c r="AC529" s="48"/>
      <c r="AD529" s="48"/>
      <c r="AE529" s="48"/>
      <c r="AF529" s="48"/>
      <c r="AG529" s="48"/>
      <c r="AH529" s="48"/>
      <c r="AI529" s="48"/>
      <c r="AJ529" s="48"/>
      <c r="AK529" s="48"/>
      <c r="AL529" s="48"/>
    </row>
    <row r="530" spans="1:38" x14ac:dyDescent="0.2">
      <c r="A530" s="134" t="s">
        <v>321</v>
      </c>
      <c r="B530" s="130" t="s">
        <v>1</v>
      </c>
      <c r="C530" s="130" t="s">
        <v>2</v>
      </c>
      <c r="D530" s="130" t="s">
        <v>3</v>
      </c>
      <c r="E530" s="130" t="s">
        <v>229</v>
      </c>
      <c r="F530" s="130" t="s">
        <v>3</v>
      </c>
      <c r="G530" s="130" t="s">
        <v>45</v>
      </c>
      <c r="H530" s="14" t="s">
        <v>179</v>
      </c>
      <c r="I530" s="130" t="s">
        <v>242</v>
      </c>
      <c r="J530" s="130" t="s">
        <v>224</v>
      </c>
      <c r="K530" s="130" t="s">
        <v>225</v>
      </c>
      <c r="AB530" s="47"/>
      <c r="AC530" s="113"/>
      <c r="AD530" s="114"/>
      <c r="AE530" s="113"/>
      <c r="AF530" s="114"/>
      <c r="AG530" s="114"/>
      <c r="AH530" s="114"/>
      <c r="AI530" s="40"/>
      <c r="AJ530" s="40"/>
      <c r="AK530" s="40"/>
      <c r="AL530" s="40"/>
    </row>
    <row r="531" spans="1:38" x14ac:dyDescent="0.2">
      <c r="A531" s="58" t="s">
        <v>8</v>
      </c>
      <c r="B531" s="119">
        <f>IF($I$85="x","PAINISSA",IF($C$3&lt;=5,SUM($C$3,$I$2)-$C$120+IF($C$75="x",2)+$I$16-$B$10+$M$94+IF($C$77="x",2)-IF($C$78="x",4)-IF($I$78="x",1)-IF($C$79="x",4)+IF($C$80="x",1)-IF($I$77="x",2)-IF($I$90="x",2)+IF($I$83="x",2)-IF($C$75="x",4)-$C$112+IF(H531="x",1)+I531+$M$77+IF(H533="x",1)+IF(J533="x",1)+IF($M$76="x",2)+J531+IF($M$85="x",1)+IF($M$113="x",1)+IF($M$120="x",2)+IF($M$119="x",2)+IF($M$105="x",1)+IF($M$110="x",1)+IF($M$111="x",2)+IF($M$112="x",4)+IF($M$108="x",1)-IF($M$109="x",1)-IF($M$99="x",1)+IF($M$90="x",1),
IF(AND($C$3&gt;5,$C$3&lt;11),SUM($C$3,$I$2)-$C$120+IF($C$75="x",2)+$I$16-$B$10+$M$94+IF($C$77="x",2)-IF($C$78="x",4)-IF($I$78="x",1)-IF($C$79="x",4)+IF($C$80="x",1)-IF($I$77="x",2)-IF($I$90="x",2)+IF($I$83="x",2)-IF($C$83="x",4)-$C$112+IF(H531="x",1)+I531+$M$77+IF(H533="x",1)+IF(J533="x",1)+IF($M$76="x",2)+J531+IF($M$85="x",1)+IF($M$113="x",1)+IF($M$120="x",2)+IF($M$119="x",2)+IF($M$105="x",1)+IF($M$110="x",1)+IF($M$111="x",2)+IF($M$112="x",4)+IF($M$108="x",1)-IF($M$109="x",1)-IF($M$99="x",1)+IF($M$90="x",1)
&amp;"/"&amp;SUM($C$3,$I$2)-$C$120+IF($C$75="x",2)+$I$16-$B$10+$M$94+IF($C$77="x",2)-IF($C$78="x",4)-IF($I$78="x",1)-IF($C$79="x",4)+IF($C$80="x",1)-IF($I$77="x",2)-IF($I$90="x",2)+IF($I$83="x",2)-IF($C$83="x",4)-$C$112-5+IF(H531="x",1)+I531+$M$77+IF(H533="x",1)+IF(J533="x",1)+IF($M$76="x",2)+J531+IF($M$85="x",1)+IF($M$113="x",1)+IF($M$120="x",2)+IF($M$119="x",2)+IF($M$105="x",1)+IF($M$110="x",1)+IF($M$111="x",2)+IF($M$112="x",4)+IF($M$108="x",1)-IF($M$109="x",1)-IF($M$99="x",1)+IF($M$90="x",1),
IF(AND($C$3&gt;10,$C$3&lt;16),SUM($C$3,$I$2)-$C$120+IF($C$75="x",2)+$I$16-$B$10+$M$94+IF($C$77="x",2)-IF($C$78="x",4)-IF($I$78="x",1)-IF($C$79="x",4)+IF($C$80="x",1)-IF($I$77="x",2)-IF($I$90="x",2)+IF($I$83="x",2)-IF($C$83="x",4)-$C$112+IF(H531="x",1)+I531+$M$77+IF(J533="x",1)+IF($M$76="x",2)+J531+IF($M$85="x",1)+IF($M$113="x",1)+IF($M$120="x",2)+IF($M$119="x",2)+IF($M$105="x",1)+IF($M$110="x",1)+IF($M$111="x",2)+IF($M$112="x",4)+IF($M$108="x",1)-IF($M$109="x",1)+IF($M$99="x",20)-IF($M$99="x",1)+IF($M$90="x",1)
&amp;"/"&amp;SUM($C$3,$I$2)-$C$120+IF($C$75="x",2)+$I$16-$B$10+$M$94+IF($C$77="x",2)-IF($C$78="x",4)-IF($I$78="x",1)-IF($C$79="x",4)+IF($C$80="x",1)-IF($I$77="x",2)-IF($I$90="x",2)+IF($I$83="x",2)-IF($C$83="x",4)-$C$112-5+IF(H531="x",1)+I531+$M$77+IF(H533="x",1)+IF(J533="x",1)+IF($M$76="x",2)+J531+IF($M$85="x",1)+IF($M$113="x",1)+IF($M$120="x",2)+IF($M$119="x",2)+IF($M$105="x",1)+IF($M$110="x",1)+IF($M$111="x",2)+IF($M$112="x",4)+IF($M$108="x",1)-IF($M$109="x",1)-IF($M$99="x",1)+IF($M$90="x",1)
&amp;"/"&amp;SUM($C$3,$I$2)-$C$120+IF($C$75="x",2)+$I$16-$B$10+$M$94+IF($C$77="x",2)-IF($C$78="x",4)-IF($I$78="x",1)-IF($C$79="x",4)+IF($C$80="x",1)-IF($I$77="x",2)-IF($I$90="x",2)+IF($I$83="x",2)-IF($C$83="x",4)-$C$112-10+IF(H531="x",1)+I531+$M$77+IF(H533="x",1)+IF(J533="x",1)+IF($M$76="x",2)+J531+IF($M$85="x",1)+IF($M$113="x",1)+IF($M$120="x",2)+IF($M$119="x",2)+IF($M$105="x",1)+IF($M$110="x",1)+IF($M$111="x",2)+IF($M$112="x",4)+IF($M$108="x",1)-IF($M$109="x",1)-IF($M$99="x",1)+IF($M$90="x",1),
IF(AND($C$3&gt;15),SUM($C$3,$I$2)-$C$120+IF($C$75="x",2)+$I$16-$B$10+$M$94+IF($C$77="x",2)-IF($C$78="x",4)-IF($I$78="x",1)-IF($C$79="x",4)+IF($C$80="x",1)-IF($I$77="x",2)-IF($I$90="x",2)+IF($I$83="x",2)-IF($C$83="x",4)-$C$112+IF(H531="x",1)+I531+$M$77+IF(H533="x",1)+IF(J533="x",1)+IF($M$76="x",2)+J531+IF($M$85="x",1)+IF($M$113="x",1)+IF($M$120="x",2)+IF($M$119="x",2)+IF($M$105="x",1)+IF($M$110="x",1)+IF($M$111="x",2)+IF($M$112="x",4)+IF($M$108="x",1)-IF($M$109="x",1)-IF($M$99="x",1)+IF($M$90="x",1)
&amp;"/"&amp;SUM($C$3,$I$2)-$C$120+IF($C$75="x",2)+$I$16-$B$10+$M$94+IF($C$77="x",2)-IF($C$78="x",4)-IF($I$78="x",1)-IF($C$79="x",4)+IF($C$80="x",1)-IF($I$77="x",2)-IF($I$90="x",2)+IF($I$83="x",2)-IF($C$83="x",4)-$C$112-5+IF(H531="x",1)+I531+$M$77+IF(H533="x",1)+IF(J533="x",1)+IF($M$76="x",2)+J531
+IF($M$85="x",1)+IF($M$113="x",1)+IF($M$120="x",2)+IF($M$119="x",2)+IF($M$105="x",1)+IF($M$110="x",1)+IF($M$111="x",2)+IF($M$112="x",4)+IF($M$108="x",1)-IF($M$109="x",1)-IF($M$99="x",1)+IF($M$90="x",1)
&amp;"/"&amp;SUM($C$3,$I$2)-$C$120+IF($C$75="x",2)+$I$16-$B$10+$M$94+IF($C$77="x",2)-IF($C$78="x",4)-IF($I$78="x",1)-IF($C$79="x",4)+IF($C$80="x",1)-IF($I$77="x",2)-IF($I$90="x",2)+IF($I$83="x",2)-IF($C$83="x",4)-$C$112-10+IF(H531="x",1)+I531+$M$77+IF(H533="x",1)+IF(J533="x",1)+IF($M$76="x",2)+J531+IF($M$85="x",1)+IF($M$113="x",1)+IF($M$120="x",2)+IF($M$119="x",2)+IF($M$105="x",1)+IF($M$110="x",1)+IF($M$111="x",2)+IF($M$112="x",4)+IF($M$108="x",1)-IF($M$109="x",1)-IF($M$99="x",1)+IF($M$90="x",1)
&amp;"/"&amp;SUM($C$3,$I$2)-$C$120+IF($C$75="x",2)+$I$16-$B$10+$M$94+IF($C$77="x",2)-IF($C$78="x",4)-IF($I$78="x",1)-IF($C$79="x",4)+IF($C$80="x",1)-IF($I$77="x",2)-IF($I$90="x",2)+IF($I$83="x",2)-IF($C$83="x",4)-$C$112-15+IF(H531="x",1)+I531+$M$77+IF(H533="x",1)+IF(J533="x",1)+IF($M$76="x",2)+J531+IF($M$85="x",1)+IF($M$113="x",1)+IF($M$120="x",2)+IF($M$119="x",2)+IF($M$105="x",1)+IF($M$110="x",1)+IF($M$111="x",2)+IF($M$112="x",4)+IF($M$108="x",1)-IF($M$109="x",1)-IF($M$99="x",1)+IF($M$90="x",1))))))</f>
        <v>0</v>
      </c>
      <c r="C531" s="114" t="str">
        <f>_xlfn.IFS($C$7="Minimaalinen","1n2",$C$7="Taskukokoinen","1n3",$C$7="Hyvin pieni","1n4",$C$7="Pieni","1n6",$C$7="Keskikokoinen","2n4",$C$7="Iso","2n6",$C$7="Valtava","3n6",$C$7="Suunnaton","4n6",$C$7="Giganttinen","6n6")</f>
        <v>2n4</v>
      </c>
      <c r="D531" s="119">
        <f>IF($I$2&lt;0,$I$2,INT($I$2*1.5))+($C$120*2)+I531+$M$77+IF(I533="x",2)+IF(K533="x",2)+IF($M$119="x",2)+IF($M$108="x",1)+$M$94-IF($M$109="x",1)+K531</f>
        <v>0</v>
      </c>
      <c r="E531" s="114" t="str">
        <f>_xlfn.IFS($C$7="Minimaalinen","2n2",$C$7="Taskukokoinen","2n3",$C$7="Hyvin pieni","2n4",$C$7="Pieni","2n6",$C$7="Keskikokoinen","4n4",$C$7="Iso","4n6",$C$7="Valtava","6n6",$C$7="Suunnaton","8n6",$C$7="Giganttinen","12n6")</f>
        <v>4n4</v>
      </c>
      <c r="F531" s="120">
        <f>SUM(D531*2)</f>
        <v>0</v>
      </c>
      <c r="G531" s="120" t="str">
        <f>(IF($I$89="x","50 %","")&amp;(IF($C$81="x","20 %",""))&amp;(IF($C$82="x","50 %","")))</f>
        <v/>
      </c>
      <c r="H531" s="28"/>
      <c r="I531" s="17">
        <v>0</v>
      </c>
      <c r="J531" s="17">
        <v>0</v>
      </c>
      <c r="K531" s="17">
        <v>0</v>
      </c>
      <c r="AB531" s="142"/>
      <c r="AI531" s="48"/>
      <c r="AJ531" s="48"/>
      <c r="AK531" s="48"/>
      <c r="AL531" s="48"/>
    </row>
    <row r="532" spans="1:38" x14ac:dyDescent="0.2">
      <c r="B532" s="15"/>
      <c r="C532" s="15"/>
      <c r="D532" s="15"/>
      <c r="F532" s="15"/>
      <c r="G532" s="15"/>
      <c r="H532" s="14" t="s">
        <v>220</v>
      </c>
      <c r="I532" s="14" t="s">
        <v>221</v>
      </c>
      <c r="J532" s="14" t="s">
        <v>222</v>
      </c>
      <c r="K532" s="14" t="s">
        <v>223</v>
      </c>
      <c r="AI532" s="40"/>
      <c r="AJ532" s="40"/>
      <c r="AK532" s="40"/>
      <c r="AL532" s="40"/>
    </row>
    <row r="533" spans="1:38" x14ac:dyDescent="0.2">
      <c r="B533" s="15"/>
      <c r="C533" s="15"/>
      <c r="D533" s="15"/>
      <c r="F533" s="15"/>
      <c r="G533" s="15"/>
      <c r="H533" s="28"/>
      <c r="I533" s="28"/>
      <c r="J533" s="28"/>
      <c r="K533" s="28"/>
      <c r="AB533" s="65"/>
      <c r="AC533" s="65"/>
      <c r="AD533" s="65"/>
      <c r="AE533" s="65"/>
      <c r="AF533" s="65"/>
      <c r="AG533" s="65"/>
      <c r="AH533" s="65"/>
      <c r="AI533" s="65"/>
      <c r="AJ533" s="65"/>
      <c r="AK533" s="65"/>
      <c r="AL533" s="65"/>
    </row>
    <row r="534" spans="1:38" x14ac:dyDescent="0.2">
      <c r="B534" s="15"/>
      <c r="C534" s="15"/>
      <c r="D534" s="15"/>
      <c r="F534" s="15"/>
      <c r="G534" s="15"/>
      <c r="H534" s="15"/>
      <c r="I534" s="15"/>
      <c r="AB534" s="65"/>
      <c r="AC534" s="65"/>
      <c r="AD534" s="65"/>
      <c r="AE534" s="65"/>
      <c r="AF534" s="65"/>
      <c r="AG534" s="65"/>
      <c r="AH534" s="65"/>
      <c r="AI534" s="65"/>
      <c r="AJ534" s="65"/>
      <c r="AK534" s="65"/>
      <c r="AL534" s="65"/>
    </row>
    <row r="535" spans="1:38" x14ac:dyDescent="0.2">
      <c r="B535" s="15"/>
      <c r="C535" s="15"/>
      <c r="D535" s="15"/>
      <c r="F535" s="15"/>
      <c r="G535" s="15"/>
      <c r="H535" s="15"/>
      <c r="I535" s="15"/>
      <c r="AB535" s="46"/>
      <c r="AC535" s="48"/>
      <c r="AD535" s="48"/>
      <c r="AE535" s="48"/>
      <c r="AF535" s="48"/>
      <c r="AG535" s="48"/>
      <c r="AH535" s="48"/>
      <c r="AI535" s="48"/>
      <c r="AJ535" s="48"/>
      <c r="AK535" s="48"/>
      <c r="AL535" s="48"/>
    </row>
    <row r="536" spans="1:38" x14ac:dyDescent="0.2">
      <c r="A536" s="134" t="s">
        <v>320</v>
      </c>
      <c r="B536" s="130" t="s">
        <v>1</v>
      </c>
      <c r="C536" s="130" t="s">
        <v>2</v>
      </c>
      <c r="D536" s="130" t="s">
        <v>3</v>
      </c>
      <c r="E536" s="130" t="s">
        <v>229</v>
      </c>
      <c r="F536" s="130" t="s">
        <v>3</v>
      </c>
      <c r="G536" s="130" t="s">
        <v>45</v>
      </c>
      <c r="H536" s="14" t="s">
        <v>179</v>
      </c>
      <c r="I536" s="130" t="s">
        <v>242</v>
      </c>
      <c r="J536" s="130" t="s">
        <v>224</v>
      </c>
      <c r="K536" s="130" t="s">
        <v>225</v>
      </c>
      <c r="AB536" s="47"/>
      <c r="AC536" s="113"/>
      <c r="AD536" s="114"/>
      <c r="AE536" s="113"/>
      <c r="AF536" s="114"/>
      <c r="AG536" s="114"/>
      <c r="AH536" s="114"/>
      <c r="AI536" s="40"/>
      <c r="AJ536" s="40"/>
      <c r="AK536" s="40"/>
      <c r="AL536" s="40"/>
    </row>
    <row r="537" spans="1:38" x14ac:dyDescent="0.2">
      <c r="A537" s="58" t="s">
        <v>8</v>
      </c>
      <c r="B537" s="119">
        <f>IF($I$85="x","PAINISSA",IF($C$3&lt;=5,SUM($C$3,$I$2)-$C$120+IF($C$75="x",2)+$I$16-$B$10+$M$94+IF($C$77="x",2)-IF($C$78="x",4)-IF($I$78="x",1)-IF($C$79="x",4)+IF($C$80="x",1)-IF($I$77="x",2)-IF($I$90="x",2)+IF($I$83="x",2)-IF($C$75="x",4)-$C$112+IF(H537="x",1)+I537+$M$77+IF(H539="x",1)+IF(J539="x",1)+IF($M$76="x",2)+J537+IF($M$85="x",1)+IF($M$113="x",1)+IF($M$120="x",2)+IF($M$119="x",2)+IF($M$105="x",1)+IF($M$110="x",1)+IF($M$111="x",2)+IF($M$112="x",4)+IF($M$108="x",1)-IF($M$109="x",1)-IF($M$99="x",1)+IF($M$90="x",1),
IF(AND($C$3&gt;5,$C$3&lt;11),SUM($C$3,$I$2)-$C$120+IF($C$75="x",2)+$I$16-$B$10+$M$94+IF($C$77="x",2)-IF($C$78="x",4)-IF($I$78="x",1)-IF($C$79="x",4)+IF($C$80="x",1)-IF($I$77="x",2)-IF($I$90="x",2)+IF($I$83="x",2)-IF($C$83="x",4)-$C$112+IF(H537="x",1)+I537+$M$77+IF(H539="x",1)+IF(J539="x",1)+IF($M$76="x",2)+J537+IF($M$85="x",1)+IF($M$113="x",1)+IF($M$120="x",2)+IF($M$119="x",2)+IF($M$105="x",1)+IF($M$110="x",1)+IF($M$111="x",2)+IF($M$112="x",4)+IF($M$108="x",1)-IF($M$109="x",1)-IF($M$99="x",1)+IF($M$90="x",1)
&amp;"/"&amp;SUM($C$3,$I$2)-$C$120+IF($C$75="x",2)+$I$16-$B$10+$M$94+IF($C$77="x",2)-IF($C$78="x",4)-IF($I$78="x",1)-IF($C$79="x",4)+IF($C$80="x",1)-IF($I$77="x",2)-IF($I$90="x",2)+IF($I$83="x",2)-IF($C$83="x",4)-$C$112-5+IF(H537="x",1)+I537+$M$77+IF(H539="x",1)+IF(J539="x",1)+IF($M$76="x",2)+J537+IF($M$85="x",1)+IF($M$113="x",1)+IF($M$120="x",2)+IF($M$119="x",2)+IF($M$105="x",1)+IF($M$110="x",1)+IF($M$111="x",2)+IF($M$112="x",4)+IF($M$108="x",1)-IF($M$109="x",1)-IF($M$99="x",1)+IF($M$90="x",1),
IF(AND($C$3&gt;10,$C$3&lt;16),SUM($C$3,$I$2)-$C$120+IF($C$75="x",2)+$I$16-$B$10+$M$94+IF($C$77="x",2)-IF($C$78="x",4)-IF($I$78="x",1)-IF($C$79="x",4)+IF($C$80="x",1)-IF($I$77="x",2)-IF($I$90="x",2)+IF($I$83="x",2)-IF($C$83="x",4)-$C$112+IF(H537="x",1)+I537+$M$77+IF(J539="x",1)+IF($M$76="x",2)+J537+IF($M$85="x",1)+IF($M$113="x",1)+IF($M$120="x",2)+IF($M$119="x",2)+IF($M$105="x",1)+IF($M$110="x",1)+IF($M$111="x",2)+IF($M$112="x",4)+IF($M$108="x",1)-IF($M$109="x",1)+IF($M$99="x",20)-IF($M$99="x",1)+IF($M$90="x",1)
&amp;"/"&amp;SUM($C$3,$I$2)-$C$120+IF($C$75="x",2)+$I$16-$B$10+$M$94+IF($C$77="x",2)-IF($C$78="x",4)-IF($I$78="x",1)-IF($C$79="x",4)+IF($C$80="x",1)-IF($I$77="x",2)-IF($I$90="x",2)+IF($I$83="x",2)-IF($C$83="x",4)-$C$112-5+IF(H537="x",1)+I537+$M$77+IF(H539="x",1)+IF(J539="x",1)+IF($M$76="x",2)+J537+IF($M$85="x",1)+IF($M$113="x",1)+IF($M$120="x",2)+IF($M$119="x",2)+IF($M$105="x",1)+IF($M$110="x",1)+IF($M$111="x",2)+IF($M$112="x",4)+IF($M$108="x",1)-IF($M$109="x",1)-IF($M$99="x",1)+IF($M$90="x",1)
&amp;"/"&amp;SUM($C$3,$I$2)-$C$120+IF($C$75="x",2)+$I$16-$B$10+$M$94+IF($C$77="x",2)-IF($C$78="x",4)-IF($I$78="x",1)-IF($C$79="x",4)+IF($C$80="x",1)-IF($I$77="x",2)-IF($I$90="x",2)+IF($I$83="x",2)-IF($C$83="x",4)-$C$112-10+IF(H537="x",1)+I537+$M$77+IF(H539="x",1)+IF(J539="x",1)+IF($M$76="x",2)+J537+IF($M$85="x",1)+IF($M$113="x",1)+IF($M$120="x",2)+IF($M$119="x",2)+IF($M$105="x",1)+IF($M$110="x",1)+IF($M$111="x",2)+IF($M$112="x",4)+IF($M$108="x",1)-IF($M$109="x",1)-IF($M$99="x",1)+IF($M$90="x",1),
IF(AND($C$3&gt;15),SUM($C$3,$I$2)-$C$120+IF($C$75="x",2)+$I$16-$B$10+$M$94+IF($C$77="x",2)-IF($C$78="x",4)-IF($I$78="x",1)-IF($C$79="x",4)+IF($C$80="x",1)-IF($I$77="x",2)-IF($I$90="x",2)+IF($I$83="x",2)-IF($C$83="x",4)-$C$112+IF(H537="x",1)+I537+$M$77+IF(H539="x",1)+IF(J539="x",1)+IF($M$76="x",2)+J537+IF($M$85="x",1)+IF($M$113="x",1)+IF($M$120="x",2)+IF($M$119="x",2)+IF($M$105="x",1)+IF($M$110="x",1)+IF($M$111="x",2)+IF($M$112="x",4)+IF($M$108="x",1)-IF($M$109="x",1)-IF($M$99="x",1)+IF($M$90="x",1)
&amp;"/"&amp;SUM($C$3,$I$2)-$C$120+IF($C$75="x",2)+$I$16-$B$10+$M$94+IF($C$77="x",2)-IF($C$78="x",4)-IF($I$78="x",1)-IF($C$79="x",4)+IF($C$80="x",1)-IF($I$77="x",2)-IF($I$90="x",2)+IF($I$83="x",2)-IF($C$83="x",4)-$C$112-5+IF(H537="x",1)+I537+$M$77+IF(H539="x",1)+IF(J539="x",1)+IF($M$76="x",2)+J537
+IF($M$85="x",1)+IF($M$113="x",1)+IF($M$120="x",2)+IF($M$119="x",2)+IF($M$105="x",1)+IF($M$110="x",1)+IF($M$111="x",2)+IF($M$112="x",4)+IF($M$108="x",1)-IF($M$109="x",1)-IF($M$99="x",1)+IF($M$90="x",1)
&amp;"/"&amp;SUM($C$3,$I$2)-$C$120+IF($C$75="x",2)+$I$16-$B$10+$M$94+IF($C$77="x",2)-IF($C$78="x",4)-IF($I$78="x",1)-IF($C$79="x",4)+IF($C$80="x",1)-IF($I$77="x",2)-IF($I$90="x",2)+IF($I$83="x",2)-IF($C$83="x",4)-$C$112-10+IF(H537="x",1)+I537+$M$77+IF(H539="x",1)+IF(J539="x",1)+IF($M$76="x",2)+J537+IF($M$85="x",1)+IF($M$113="x",1)+IF($M$120="x",2)+IF($M$119="x",2)+IF($M$105="x",1)+IF($M$110="x",1)+IF($M$111="x",2)+IF($M$112="x",4)+IF($M$108="x",1)-IF($M$109="x",1)-IF($M$99="x",1)+IF($M$90="x",1)
&amp;"/"&amp;SUM($C$3,$I$2)-$C$120+IF($C$75="x",2)+$I$16-$B$10+$M$94+IF($C$77="x",2)-IF($C$78="x",4)-IF($I$78="x",1)-IF($C$79="x",4)+IF($C$80="x",1)-IF($I$77="x",2)-IF($I$90="x",2)+IF($I$83="x",2)-IF($C$83="x",4)-$C$112-15+IF(H537="x",1)+I537+$M$77+IF(H539="x",1)+IF(J539="x",1)+IF($M$76="x",2)+J537+IF($M$85="x",1)+IF($M$113="x",1)+IF($M$120="x",2)+IF($M$119="x",2)+IF($M$105="x",1)+IF($M$110="x",1)+IF($M$111="x",2)+IF($M$112="x",4)+IF($M$108="x",1)-IF($M$109="x",1)-IF($M$99="x",1)+IF($M$90="x",1))))))</f>
        <v>0</v>
      </c>
      <c r="C537" s="114" t="str">
        <f>_xlfn.IFS($C$7="Minimaalinen","1n4",$C$7="Taskukokoinen","1n6",$C$7="Hyvin pieni","1n8",$C$7="Pieni","1n10",$C$7="Keskikokoinen","2n6",$C$7="Iso","3n6",$C$7="Valtava","4n6",$C$7="Suunnaton","6n6",$C$7="Giganttinen","8n6")</f>
        <v>2n6</v>
      </c>
      <c r="D537" s="119">
        <f>IF($I$2&lt;0,$I$2,INT($I$2*1.5))+($C$120*2)+I537+$M$77+IF(I539="x",2)+IF(K539="x",2)+IF($M$119="x",2)+IF($M$108="x",1)+$M$94-IF($M$109="x",1)+K537</f>
        <v>0</v>
      </c>
      <c r="E537" s="114" t="str">
        <f>_xlfn.IFS($C$7="Minimaalinen","2n4",$C$7="Taskukokoinen","2n6",$C$7="Hyvin pieni","2n8",$C$7="Pieni","2n10",$C$7="Keskikokoinen","4n6",$C$7="Iso","6n6",$C$7="Valtava","8n6",$C$7="Suunnaton","12n6",$C$7="Giganttinen","16n6")</f>
        <v>4n6</v>
      </c>
      <c r="F537" s="120">
        <f>SUM(D537*2)</f>
        <v>0</v>
      </c>
      <c r="G537" s="120" t="str">
        <f>(IF($I$89="x","50 %","")&amp;(IF($C$81="x","20 %",""))&amp;(IF($C$82="x","50 %","")))</f>
        <v/>
      </c>
      <c r="H537" s="28"/>
      <c r="I537" s="17">
        <v>0</v>
      </c>
      <c r="J537" s="17">
        <v>0</v>
      </c>
      <c r="K537" s="17">
        <v>0</v>
      </c>
      <c r="AB537" s="142"/>
      <c r="AI537" s="48"/>
      <c r="AJ537" s="48"/>
      <c r="AK537" s="48"/>
      <c r="AL537" s="48"/>
    </row>
    <row r="538" spans="1:38" x14ac:dyDescent="0.2">
      <c r="B538" s="15"/>
      <c r="C538" s="15"/>
      <c r="D538" s="15"/>
      <c r="F538" s="15"/>
      <c r="G538" s="15"/>
      <c r="H538" s="14" t="s">
        <v>220</v>
      </c>
      <c r="I538" s="14" t="s">
        <v>221</v>
      </c>
      <c r="J538" s="14" t="s">
        <v>222</v>
      </c>
      <c r="K538" s="14" t="s">
        <v>223</v>
      </c>
      <c r="AI538" s="40"/>
      <c r="AJ538" s="40"/>
      <c r="AK538" s="40"/>
      <c r="AL538" s="40"/>
    </row>
    <row r="539" spans="1:38" x14ac:dyDescent="0.2">
      <c r="B539" s="15"/>
      <c r="C539" s="15"/>
      <c r="D539" s="15"/>
      <c r="F539" s="15"/>
      <c r="G539" s="15"/>
      <c r="H539" s="28"/>
      <c r="I539" s="28"/>
      <c r="J539" s="28"/>
      <c r="K539" s="28"/>
    </row>
    <row r="540" spans="1:38" x14ac:dyDescent="0.2">
      <c r="B540" s="15"/>
      <c r="C540" s="15"/>
      <c r="D540" s="15"/>
      <c r="F540" s="15"/>
      <c r="G540" s="15"/>
      <c r="H540" s="15"/>
      <c r="I540" s="15"/>
      <c r="AB540" s="50"/>
      <c r="AC540" s="50"/>
      <c r="AD540" s="50"/>
      <c r="AE540" s="50"/>
      <c r="AF540" s="50"/>
      <c r="AG540" s="50"/>
      <c r="AH540" s="50"/>
      <c r="AI540" s="50"/>
      <c r="AJ540" s="50"/>
      <c r="AK540" s="50"/>
      <c r="AL540" s="50"/>
    </row>
    <row r="541" spans="1:38" x14ac:dyDescent="0.2">
      <c r="B541" s="15"/>
      <c r="C541" s="15"/>
      <c r="D541" s="15"/>
      <c r="F541" s="15"/>
      <c r="G541" s="15"/>
      <c r="H541" s="15"/>
      <c r="I541" s="15"/>
      <c r="AB541" s="50"/>
      <c r="AC541" s="50"/>
      <c r="AD541" s="50"/>
      <c r="AE541" s="50"/>
      <c r="AF541" s="50"/>
      <c r="AG541" s="50"/>
      <c r="AH541" s="50"/>
      <c r="AI541" s="50"/>
      <c r="AJ541" s="50"/>
      <c r="AK541" s="50"/>
      <c r="AL541" s="50"/>
    </row>
    <row r="542" spans="1:38" x14ac:dyDescent="0.2">
      <c r="A542" s="34" t="s">
        <v>426</v>
      </c>
      <c r="B542" s="130" t="s">
        <v>1</v>
      </c>
      <c r="C542" s="130" t="s">
        <v>2</v>
      </c>
      <c r="D542" s="130" t="s">
        <v>3</v>
      </c>
      <c r="E542" s="130" t="s">
        <v>229</v>
      </c>
      <c r="F542" s="130" t="s">
        <v>3</v>
      </c>
      <c r="G542" s="130" t="s">
        <v>45</v>
      </c>
      <c r="H542" s="14" t="s">
        <v>179</v>
      </c>
      <c r="I542" s="130" t="s">
        <v>242</v>
      </c>
      <c r="J542" s="130" t="s">
        <v>224</v>
      </c>
      <c r="K542" s="130" t="s">
        <v>225</v>
      </c>
      <c r="AB542" s="50"/>
      <c r="AC542" s="50"/>
      <c r="AD542" s="50"/>
      <c r="AE542" s="50"/>
      <c r="AF542" s="50"/>
      <c r="AG542" s="50"/>
      <c r="AH542" s="50"/>
      <c r="AI542" s="50"/>
      <c r="AJ542" s="50"/>
      <c r="AK542" s="50"/>
      <c r="AL542" s="50"/>
    </row>
    <row r="543" spans="1:38" x14ac:dyDescent="0.2">
      <c r="A543" s="58" t="s">
        <v>8</v>
      </c>
      <c r="B543" s="119">
        <f>IF($I$85="x","PAINISSA",IF($C$3&lt;=5,SUM($C$3,$I$2)-$C$120+IF($C$75="x",2)+$I$16-$B$10+$M$94+IF($C$77="x",2)-IF($C$78="x",4)-IF($I$78="x",1)-IF($C$79="x",4)+IF($C$80="x",1)-IF($I$77="x",2)-IF($I$90="x",2)+IF($I$83="x",2)-IF($C$75="x",4)-$C$112+IF(H543="x",1)+I543+$M$77+IF(H545="x",1)+IF(J545="x",1)+IF($M$76="x",2)+J543+IF($M$85="x",1)+IF($M$113="x",1)+IF($M$120="x",2)+IF($M$119="x",2)+IF($M$105="x",1)+IF($M$110="x",1)+IF($M$111="x",2)+IF($M$112="x",4)+IF($M$108="x",1)-IF($M$109="x",1)-IF($M$99="x",1)+IF($M$90="x",1),
IF(AND($C$3&gt;5,$C$3&lt;11),SUM($C$3,$I$2)-$C$120+IF($C$75="x",2)+$I$16-$B$10+$M$94+IF($C$77="x",2)-IF($C$78="x",4)-IF($I$78="x",1)-IF($C$79="x",4)+IF($C$80="x",1)-IF($I$77="x",2)-IF($I$90="x",2)+IF($I$83="x",2)-IF($C$83="x",4)-$C$112+IF(H543="x",1)+I543+$M$77+IF(H545="x",1)+IF(J545="x",1)+IF($M$76="x",2)+J543+IF($M$85="x",1)+IF($M$113="x",1)+IF($M$120="x",2)+IF($M$119="x",2)+IF($M$105="x",1)+IF($M$110="x",1)+IF($M$111="x",2)+IF($M$112="x",4)+IF($M$108="x",1)-IF($M$109="x",1)-IF($M$99="x",1)+IF($M$90="x",1)
&amp;"/"&amp;SUM($C$3,$I$2)-$C$120+IF($C$75="x",2)+$I$16-$B$10+$M$94+IF($C$77="x",2)-IF($C$78="x",4)-IF($I$78="x",1)-IF($C$79="x",4)+IF($C$80="x",1)-IF($I$77="x",2)-IF($I$90="x",2)+IF($I$83="x",2)-IF($C$83="x",4)-$C$112-5+IF(H543="x",1)+I543+$M$77+IF(H545="x",1)+IF(J545="x",1)+IF($M$76="x",2)+J543+IF($M$85="x",1)+IF($M$113="x",1)+IF($M$120="x",2)+IF($M$119="x",2)+IF($M$105="x",1)+IF($M$110="x",1)+IF($M$111="x",2)+IF($M$112="x",4)+IF($M$108="x",1)-IF($M$109="x",1)-IF($M$99="x",1)+IF($M$90="x",1),
IF(AND($C$3&gt;10,$C$3&lt;16),SUM($C$3,$I$2)-$C$120+IF($C$75="x",2)+$I$16-$B$10+$M$94+IF($C$77="x",2)-IF($C$78="x",4)-IF($I$78="x",1)-IF($C$79="x",4)+IF($C$80="x",1)-IF($I$77="x",2)-IF($I$90="x",2)+IF($I$83="x",2)-IF($C$83="x",4)-$C$112+IF(H543="x",1)+I543+$M$77+IF(J545="x",1)+IF($M$76="x",2)+J543+IF($M$85="x",1)+IF($M$113="x",1)+IF($M$120="x",2)+IF($M$119="x",2)+IF($M$105="x",1)+IF($M$110="x",1)+IF($M$111="x",2)+IF($M$112="x",4)+IF($M$108="x",1)-IF($M$109="x",1)+IF($M$99="x",20)-IF($M$99="x",1)+IF($M$90="x",1)
&amp;"/"&amp;SUM($C$3,$I$2)-$C$120+IF($C$75="x",2)+$I$16-$B$10+$M$94+IF($C$77="x",2)-IF($C$78="x",4)-IF($I$78="x",1)-IF($C$79="x",4)+IF($C$80="x",1)-IF($I$77="x",2)-IF($I$90="x",2)+IF($I$83="x",2)-IF($C$83="x",4)-$C$112-5+IF(H543="x",1)+I543+$M$77+IF(H545="x",1)+IF(J545="x",1)+IF($M$76="x",2)+J543+IF($M$85="x",1)+IF($M$113="x",1)+IF($M$120="x",2)+IF($M$119="x",2)+IF($M$105="x",1)+IF($M$110="x",1)+IF($M$111="x",2)+IF($M$112="x",4)+IF($M$108="x",1)-IF($M$109="x",1)-IF($M$99="x",1)+IF($M$90="x",1)
&amp;"/"&amp;SUM($C$3,$I$2)-$C$120+IF($C$75="x",2)+$I$16-$B$10+$M$94+IF($C$77="x",2)-IF($C$78="x",4)-IF($I$78="x",1)-IF($C$79="x",4)+IF($C$80="x",1)-IF($I$77="x",2)-IF($I$90="x",2)+IF($I$83="x",2)-IF($C$83="x",4)-$C$112-10+IF(H543="x",1)+I543+$M$77+IF(H545="x",1)+IF(J545="x",1)+IF($M$76="x",2)+J543+IF($M$85="x",1)+IF($M$113="x",1)+IF($M$120="x",2)+IF($M$119="x",2)+IF($M$105="x",1)+IF($M$110="x",1)+IF($M$111="x",2)+IF($M$112="x",4)+IF($M$108="x",1)-IF($M$109="x",1)-IF($M$99="x",1)+IF($M$90="x",1),
IF(AND($C$3&gt;15),SUM($C$3,$I$2)-$C$120+IF($C$75="x",2)+$I$16-$B$10+$M$94+IF($C$77="x",2)-IF($C$78="x",4)-IF($I$78="x",1)-IF($C$79="x",4)+IF($C$80="x",1)-IF($I$77="x",2)-IF($I$90="x",2)+IF($I$83="x",2)-IF($C$83="x",4)-$C$112+IF(H543="x",1)+I543+$M$77+IF(H545="x",1)+IF(J545="x",1)+IF($M$76="x",2)+J543+IF($M$85="x",1)+IF($M$113="x",1)+IF($M$120="x",2)+IF($M$119="x",2)+IF($M$105="x",1)+IF($M$110="x",1)+IF($M$111="x",2)+IF($M$112="x",4)+IF($M$108="x",1)-IF($M$109="x",1)-IF($M$99="x",1)+IF($M$90="x",1)
&amp;"/"&amp;SUM($C$3,$I$2)-$C$120+IF($C$75="x",2)+$I$16-$B$10+$M$94+IF($C$77="x",2)-IF($C$78="x",4)-IF($I$78="x",1)-IF($C$79="x",4)+IF($C$80="x",1)-IF($I$77="x",2)-IF($I$90="x",2)+IF($I$83="x",2)-IF($C$83="x",4)-$C$112-5+IF(H543="x",1)+I543+$M$77+IF(H545="x",1)+IF(J545="x",1)+IF($M$76="x",2)+J543
+IF($M$85="x",1)+IF($M$113="x",1)+IF($M$120="x",2)+IF($M$119="x",2)+IF($M$105="x",1)+IF($M$110="x",1)+IF($M$111="x",2)+IF($M$112="x",4)+IF($M$108="x",1)-IF($M$109="x",1)-IF($M$99="x",1)+IF($M$90="x",1)
&amp;"/"&amp;SUM($C$3,$I$2)-$C$120+IF($C$75="x",2)+$I$16-$B$10+$M$94+IF($C$77="x",2)-IF($C$78="x",4)-IF($I$78="x",1)-IF($C$79="x",4)+IF($C$80="x",1)-IF($I$77="x",2)-IF($I$90="x",2)+IF($I$83="x",2)-IF($C$83="x",4)-$C$112-10+IF(H543="x",1)+I543+$M$77+IF(H545="x",1)+IF(J545="x",1)+IF($M$76="x",2)+J543+IF($M$85="x",1)+IF($M$113="x",1)+IF($M$120="x",2)+IF($M$119="x",2)+IF($M$105="x",1)+IF($M$110="x",1)+IF($M$111="x",2)+IF($M$112="x",4)+IF($M$108="x",1)-IF($M$109="x",1)-IF($M$99="x",1)+IF($M$90="x",1)
&amp;"/"&amp;SUM($C$3,$I$2)-$C$120+IF($C$75="x",2)+$I$16-$B$10+$M$94+IF($C$77="x",2)-IF($C$78="x",4)-IF($I$78="x",1)-IF($C$79="x",4)+IF($C$80="x",1)-IF($I$77="x",2)-IF($I$90="x",2)+IF($I$83="x",2)-IF($C$83="x",4)-$C$112-15+IF(H543="x",1)+I543+$M$77+IF(H545="x",1)+IF(J545="x",1)+IF($M$76="x",2)+J543+IF($M$85="x",1)+IF($M$113="x",1)+IF($M$120="x",2)+IF($M$119="x",2)+IF($M$105="x",1)+IF($M$110="x",1)+IF($M$111="x",2)+IF($M$112="x",4)+IF($M$108="x",1)-IF($M$109="x",1)-IF($M$99="x",1)+IF($M$90="x",1))))))</f>
        <v>0</v>
      </c>
      <c r="C543" s="114" t="str">
        <f>_xlfn.IFS($C$7="Minimaalinen","1n2",$C$7="Taskukokoinen","1n3",$C$7="Hyvin pieni","1n4",$C$7="Pieni","1n6",$C$7="Keskikokoinen","1n8",$C$7="Iso","2n6",$C$7="Valtava","3n6",$C$7="Suunnaton","4n6",$C$7="Giganttinen","6n6")</f>
        <v>1n8</v>
      </c>
      <c r="D543" s="119">
        <f>IF($I$2&lt;0,$I$2,INT($I$2*1.5))+($C$120*2)+I543+$M$77+IF(I545="x",2)+IF(K545="x",2)+IF($M$119="x",2)+IF($M$108="x",1)+$M$94-IF($M$109="x",1)+K543</f>
        <v>0</v>
      </c>
      <c r="E543" s="114" t="str">
        <f>_xlfn.IFS($C$7="Minimaalinen","3n2",$C$7="Taskukokoinen","3n3",$C$7="Hyvin pieni","3n4",$C$7="Pieni","3n6",$C$7="Keskikokoinen","3n8",$C$7="Iso","6n6",$C$7="Valtava","9n6",$C$7="Suunnaton","12n6",$C$7="Giganttinen","18n6")</f>
        <v>3n8</v>
      </c>
      <c r="F543" s="120">
        <f>SUM(D543*2)</f>
        <v>0</v>
      </c>
      <c r="G543" s="120" t="str">
        <f>(IF($I$89="x","50 %","")&amp;(IF($C$81="x","20 %",""))&amp;(IF($C$82="x","50 %","")))</f>
        <v/>
      </c>
      <c r="H543" s="28"/>
      <c r="I543" s="17">
        <v>0</v>
      </c>
      <c r="J543" s="17">
        <v>0</v>
      </c>
      <c r="K543" s="17">
        <v>0</v>
      </c>
      <c r="AB543" s="50"/>
      <c r="AC543" s="50"/>
      <c r="AD543" s="50"/>
      <c r="AE543" s="50"/>
      <c r="AF543" s="50"/>
      <c r="AG543" s="50"/>
      <c r="AH543" s="50"/>
      <c r="AI543" s="50"/>
      <c r="AJ543" s="50"/>
      <c r="AK543" s="50"/>
      <c r="AL543" s="50"/>
    </row>
    <row r="544" spans="1:38" x14ac:dyDescent="0.2">
      <c r="A544" s="125" t="s">
        <v>250</v>
      </c>
      <c r="B544" s="133"/>
      <c r="C544" s="133"/>
      <c r="D544" s="133"/>
      <c r="E544" s="133"/>
      <c r="F544" s="133"/>
      <c r="G544" s="15"/>
      <c r="H544" s="14" t="s">
        <v>220</v>
      </c>
      <c r="I544" s="14" t="s">
        <v>221</v>
      </c>
      <c r="J544" s="14" t="s">
        <v>222</v>
      </c>
      <c r="K544" s="14" t="s">
        <v>223</v>
      </c>
      <c r="AB544" s="50"/>
      <c r="AC544" s="50"/>
      <c r="AD544" s="50"/>
      <c r="AE544" s="50"/>
      <c r="AF544" s="50"/>
      <c r="AG544" s="50"/>
      <c r="AH544" s="50"/>
      <c r="AI544" s="50"/>
      <c r="AJ544" s="50"/>
      <c r="AK544" s="50"/>
      <c r="AL544" s="50"/>
    </row>
    <row r="545" spans="1:38" x14ac:dyDescent="0.2">
      <c r="A545" s="143">
        <v>20</v>
      </c>
      <c r="B545" s="136">
        <v>0</v>
      </c>
      <c r="C545" s="135" t="str">
        <f>_xlfn.IFS($C$7="Minimaalinen","1n2",$C$7="Taskukokoinen","1n3",$C$7="Hyvin pieni","1n4",$C$7="Pieni","1n6",$C$7="Keskikokoinen","1n8",$C$7="Iso","2n6",$C$7="Valtava","3n6",$C$7="Suunnaton","4n6",$C$7="Giganttinen","6n6")</f>
        <v>1n8</v>
      </c>
      <c r="D545" s="136">
        <v>0</v>
      </c>
      <c r="E545" s="135" t="str">
        <f>_xlfn.IFS($C$7="Minimaalinen","3n2",$C$7="Taskukokoinen","3n3",$C$7="Hyvin pieni","3n4",$C$7="Pieni","3n6",$C$7="Keskikokoinen","3n8",$C$7="Iso","6n6",$C$7="Valtava","9n6",$C$7="Suunnaton","12n6",$C$7="Giganttinen","18n6")</f>
        <v>3n8</v>
      </c>
      <c r="F545" s="135">
        <v>0</v>
      </c>
      <c r="G545" s="135" t="str">
        <f>(IF($I$89="x","50 %","")&amp;(IF($C$81="x","20 %",""))&amp;(IF($C$82="x","50 %","")))</f>
        <v/>
      </c>
      <c r="H545" s="28"/>
      <c r="I545" s="28"/>
      <c r="J545" s="28"/>
      <c r="K545" s="28"/>
      <c r="AB545" s="50"/>
      <c r="AC545" s="50"/>
      <c r="AD545" s="50"/>
      <c r="AE545" s="50"/>
      <c r="AF545" s="50"/>
      <c r="AG545" s="50"/>
      <c r="AH545" s="50"/>
      <c r="AI545" s="50"/>
      <c r="AJ545" s="50"/>
      <c r="AK545" s="50"/>
      <c r="AL545" s="50"/>
    </row>
    <row r="546" spans="1:38" x14ac:dyDescent="0.2">
      <c r="A546" s="144">
        <v>40</v>
      </c>
      <c r="B546" s="145">
        <v>-2</v>
      </c>
      <c r="C546" s="135"/>
      <c r="D546" s="136"/>
      <c r="E546" s="135"/>
      <c r="F546" s="135"/>
      <c r="G546" s="15"/>
      <c r="H546" s="15"/>
      <c r="I546" s="15"/>
      <c r="AB546" s="50"/>
      <c r="AC546" s="50"/>
      <c r="AD546" s="50"/>
      <c r="AE546" s="50"/>
      <c r="AF546" s="50"/>
      <c r="AG546" s="50"/>
      <c r="AH546" s="50"/>
      <c r="AI546" s="50"/>
      <c r="AJ546" s="50"/>
      <c r="AK546" s="50"/>
      <c r="AL546" s="50"/>
    </row>
    <row r="547" spans="1:38" x14ac:dyDescent="0.2">
      <c r="A547" s="143">
        <v>60</v>
      </c>
      <c r="B547" s="136">
        <v>-4</v>
      </c>
      <c r="C547" s="135"/>
      <c r="D547" s="136"/>
      <c r="E547" s="135"/>
      <c r="F547" s="135"/>
      <c r="G547" s="15"/>
      <c r="H547" s="15"/>
      <c r="I547" s="15"/>
      <c r="AB547" s="50"/>
      <c r="AC547" s="50"/>
      <c r="AD547" s="50"/>
      <c r="AE547" s="50"/>
      <c r="AF547" s="50"/>
      <c r="AG547" s="50"/>
      <c r="AH547" s="50"/>
      <c r="AI547" s="50"/>
      <c r="AJ547" s="50"/>
      <c r="AK547" s="50"/>
      <c r="AL547" s="50"/>
    </row>
    <row r="548" spans="1:38" x14ac:dyDescent="0.2">
      <c r="A548" s="144">
        <v>80</v>
      </c>
      <c r="B548" s="145">
        <v>-6</v>
      </c>
      <c r="C548" s="135"/>
      <c r="D548" s="136"/>
      <c r="E548" s="135"/>
      <c r="F548" s="135"/>
      <c r="G548" s="15"/>
      <c r="H548" s="15"/>
      <c r="I548" s="15"/>
      <c r="AB548" s="50"/>
      <c r="AC548" s="50"/>
      <c r="AD548" s="50"/>
      <c r="AE548" s="50"/>
      <c r="AF548" s="50"/>
      <c r="AG548" s="50"/>
      <c r="AH548" s="50"/>
      <c r="AI548" s="50"/>
      <c r="AJ548" s="50"/>
      <c r="AK548" s="50"/>
      <c r="AL548" s="50"/>
    </row>
    <row r="549" spans="1:38" x14ac:dyDescent="0.2">
      <c r="A549" s="143">
        <v>100</v>
      </c>
      <c r="B549" s="136">
        <v>-8</v>
      </c>
      <c r="C549" s="135"/>
      <c r="D549" s="136"/>
      <c r="E549" s="135"/>
      <c r="F549" s="135"/>
      <c r="G549" s="15"/>
      <c r="H549" s="15"/>
      <c r="I549" s="15"/>
      <c r="AB549" s="50"/>
      <c r="AC549" s="50"/>
      <c r="AD549" s="50"/>
      <c r="AE549" s="50"/>
      <c r="AF549" s="50"/>
      <c r="AG549" s="50"/>
      <c r="AH549" s="50"/>
      <c r="AI549" s="50"/>
      <c r="AJ549" s="50"/>
      <c r="AK549" s="50"/>
      <c r="AL549" s="50"/>
    </row>
    <row r="550" spans="1:38" x14ac:dyDescent="0.2">
      <c r="B550" s="15"/>
      <c r="C550" s="15"/>
      <c r="D550" s="15"/>
      <c r="F550" s="15"/>
      <c r="G550" s="15"/>
      <c r="H550" s="15"/>
      <c r="I550" s="15"/>
      <c r="AB550" s="50"/>
      <c r="AC550" s="50"/>
      <c r="AD550" s="50"/>
      <c r="AE550" s="50"/>
      <c r="AF550" s="50"/>
      <c r="AG550" s="50"/>
      <c r="AH550" s="50"/>
      <c r="AI550" s="50"/>
      <c r="AJ550" s="50"/>
      <c r="AK550" s="50"/>
      <c r="AL550" s="50"/>
    </row>
    <row r="551" spans="1:38" x14ac:dyDescent="0.2">
      <c r="B551" s="15"/>
      <c r="C551" s="15"/>
      <c r="D551" s="15"/>
      <c r="F551" s="15"/>
      <c r="G551" s="15"/>
      <c r="H551" s="15"/>
      <c r="I551" s="15"/>
      <c r="AB551" s="46"/>
      <c r="AC551" s="48"/>
      <c r="AD551" s="48"/>
      <c r="AE551" s="48"/>
      <c r="AF551" s="48"/>
      <c r="AG551" s="48"/>
      <c r="AH551" s="48"/>
      <c r="AI551" s="48"/>
      <c r="AJ551" s="48"/>
      <c r="AK551" s="48"/>
      <c r="AL551" s="48"/>
    </row>
    <row r="552" spans="1:38" x14ac:dyDescent="0.2">
      <c r="A552" s="34" t="s">
        <v>322</v>
      </c>
      <c r="B552" s="130" t="s">
        <v>1</v>
      </c>
      <c r="C552" s="130" t="s">
        <v>2</v>
      </c>
      <c r="D552" s="130" t="s">
        <v>3</v>
      </c>
      <c r="E552" s="130" t="s">
        <v>229</v>
      </c>
      <c r="F552" s="130" t="s">
        <v>3</v>
      </c>
      <c r="G552" s="130" t="s">
        <v>45</v>
      </c>
      <c r="H552" s="14" t="s">
        <v>179</v>
      </c>
      <c r="I552" s="130" t="s">
        <v>242</v>
      </c>
      <c r="J552" s="130" t="s">
        <v>224</v>
      </c>
      <c r="K552" s="130" t="s">
        <v>225</v>
      </c>
      <c r="AB552" s="47"/>
      <c r="AC552" s="113"/>
      <c r="AD552" s="114"/>
      <c r="AE552" s="113"/>
      <c r="AF552" s="114"/>
      <c r="AG552" s="114"/>
      <c r="AH552" s="114"/>
      <c r="AI552" s="40"/>
      <c r="AJ552" s="40"/>
      <c r="AK552" s="40"/>
      <c r="AL552" s="40"/>
    </row>
    <row r="553" spans="1:38" x14ac:dyDescent="0.2">
      <c r="A553" s="58" t="s">
        <v>8</v>
      </c>
      <c r="B553" s="119">
        <f>IF($I$85="x","PAINISSA",IF($C$3&lt;=5,SUM($C$3,$I$2)-$C$120+IF($C$75="x",2)+$I$16-$B$10+$M$94+IF($C$77="x",2)-IF($C$78="x",4)-IF($I$78="x",1)-IF($C$79="x",4)+IF($C$80="x",1)-IF($I$77="x",2)-IF($I$90="x",2)+IF($I$83="x",2)-IF($C$75="x",4)-$C$112+IF(H553="x",1)+I553+$M$77+IF(H555="x",1)+IF(J555="x",1)+IF($M$76="x",2)+J553+IF($M$85="x",1)+IF($M$113="x",1)+IF($M$120="x",2)+IF($M$119="x",2)+IF($M$105="x",1)+IF($M$110="x",1)+IF($M$111="x",2)+IF($M$112="x",4)+IF($M$108="x",1)-IF($M$109="x",1)-IF($M$99="x",1)+IF($M$90="x",1),
IF(AND($C$3&gt;5,$C$3&lt;11),SUM($C$3,$I$2)-$C$120+IF($C$75="x",2)+$I$16-$B$10+$M$94+IF($C$77="x",2)-IF($C$78="x",4)-IF($I$78="x",1)-IF($C$79="x",4)+IF($C$80="x",1)-IF($I$77="x",2)-IF($I$90="x",2)+IF($I$83="x",2)-IF($C$83="x",4)-$C$112+IF(H553="x",1)+I553+$M$77+IF(H555="x",1)+IF(J555="x",1)+IF($M$76="x",2)+J553+IF($M$85="x",1)+IF($M$113="x",1)+IF($M$120="x",2)+IF($M$119="x",2)+IF($M$105="x",1)+IF($M$110="x",1)+IF($M$111="x",2)+IF($M$112="x",4)+IF($M$108="x",1)-IF($M$109="x",1)-IF($M$99="x",1)+IF($M$90="x",1)
&amp;"/"&amp;SUM($C$3,$I$2)-$C$120+IF($C$75="x",2)+$I$16-$B$10+$M$94+IF($C$77="x",2)-IF($C$78="x",4)-IF($I$78="x",1)-IF($C$79="x",4)+IF($C$80="x",1)-IF($I$77="x",2)-IF($I$90="x",2)+IF($I$83="x",2)-IF($C$83="x",4)-$C$112-5+IF(H553="x",1)+I553+$M$77+IF(H555="x",1)+IF(J555="x",1)+IF($M$76="x",2)+J553+IF($M$85="x",1)+IF($M$113="x",1)+IF($M$120="x",2)+IF($M$119="x",2)+IF($M$105="x",1)+IF($M$110="x",1)+IF($M$111="x",2)+IF($M$112="x",4)+IF($M$108="x",1)-IF($M$109="x",1)-IF($M$99="x",1)+IF($M$90="x",1),
IF(AND($C$3&gt;10,$C$3&lt;16),SUM($C$3,$I$2)-$C$120+IF($C$75="x",2)+$I$16-$B$10+$M$94+IF($C$77="x",2)-IF($C$78="x",4)-IF($I$78="x",1)-IF($C$79="x",4)+IF($C$80="x",1)-IF($I$77="x",2)-IF($I$90="x",2)+IF($I$83="x",2)-IF($C$83="x",4)-$C$112+IF(H553="x",1)+I553+$M$77+IF(J555="x",1)+IF($M$76="x",2)+J553+IF($M$85="x",1)+IF($M$113="x",1)+IF($M$120="x",2)+IF($M$119="x",2)+IF($M$105="x",1)+IF($M$110="x",1)+IF($M$111="x",2)+IF($M$112="x",4)+IF($M$108="x",1)-IF($M$109="x",1)+IF($M$99="x",20)-IF($M$99="x",1)+IF($M$90="x",1)
&amp;"/"&amp;SUM($C$3,$I$2)-$C$120+IF($C$75="x",2)+$I$16-$B$10+$M$94+IF($C$77="x",2)-IF($C$78="x",4)-IF($I$78="x",1)-IF($C$79="x",4)+IF($C$80="x",1)-IF($I$77="x",2)-IF($I$90="x",2)+IF($I$83="x",2)-IF($C$83="x",4)-$C$112-5+IF(H553="x",1)+I553+$M$77+IF(H555="x",1)+IF(J555="x",1)+IF($M$76="x",2)+J553+IF($M$85="x",1)+IF($M$113="x",1)+IF($M$120="x",2)+IF($M$119="x",2)+IF($M$105="x",1)+IF($M$110="x",1)+IF($M$111="x",2)+IF($M$112="x",4)+IF($M$108="x",1)-IF($M$109="x",1)-IF($M$99="x",1)+IF($M$90="x",1)
&amp;"/"&amp;SUM($C$3,$I$2)-$C$120+IF($C$75="x",2)+$I$16-$B$10+$M$94+IF($C$77="x",2)-IF($C$78="x",4)-IF($I$78="x",1)-IF($C$79="x",4)+IF($C$80="x",1)-IF($I$77="x",2)-IF($I$90="x",2)+IF($I$83="x",2)-IF($C$83="x",4)-$C$112-10+IF(H553="x",1)+I553+$M$77+IF(H555="x",1)+IF(J555="x",1)+IF($M$76="x",2)+J553+IF($M$85="x",1)+IF($M$113="x",1)+IF($M$120="x",2)+IF($M$119="x",2)+IF($M$105="x",1)+IF($M$110="x",1)+IF($M$111="x",2)+IF($M$112="x",4)+IF($M$108="x",1)-IF($M$109="x",1)-IF($M$99="x",1)+IF($M$90="x",1),
IF(AND($C$3&gt;15),SUM($C$3,$I$2)-$C$120+IF($C$75="x",2)+$I$16-$B$10+$M$94+IF($C$77="x",2)-IF($C$78="x",4)-IF($I$78="x",1)-IF($C$79="x",4)+IF($C$80="x",1)-IF($I$77="x",2)-IF($I$90="x",2)+IF($I$83="x",2)-IF($C$83="x",4)-$C$112+IF(H553="x",1)+I553+$M$77+IF(H555="x",1)+IF(J555="x",1)+IF($M$76="x",2)+J553+IF($M$85="x",1)+IF($M$113="x",1)+IF($M$120="x",2)+IF($M$119="x",2)+IF($M$105="x",1)+IF($M$110="x",1)+IF($M$111="x",2)+IF($M$112="x",4)+IF($M$108="x",1)-IF($M$109="x",1)-IF($M$99="x",1)+IF($M$90="x",1)
&amp;"/"&amp;SUM($C$3,$I$2)-$C$120+IF($C$75="x",2)+$I$16-$B$10+$M$94+IF($C$77="x",2)-IF($C$78="x",4)-IF($I$78="x",1)-IF($C$79="x",4)+IF($C$80="x",1)-IF($I$77="x",2)-IF($I$90="x",2)+IF($I$83="x",2)-IF($C$83="x",4)-$C$112-5+IF(H553="x",1)+I553+$M$77+IF(H555="x",1)+IF(J555="x",1)+IF($M$76="x",2)+J553
+IF($M$85="x",1)+IF($M$113="x",1)+IF($M$120="x",2)+IF($M$119="x",2)+IF($M$105="x",1)+IF($M$110="x",1)+IF($M$111="x",2)+IF($M$112="x",4)+IF($M$108="x",1)-IF($M$109="x",1)-IF($M$99="x",1)+IF($M$90="x",1)
&amp;"/"&amp;SUM($C$3,$I$2)-$C$120+IF($C$75="x",2)+$I$16-$B$10+$M$94+IF($C$77="x",2)-IF($C$78="x",4)-IF($I$78="x",1)-IF($C$79="x",4)+IF($C$80="x",1)-IF($I$77="x",2)-IF($I$90="x",2)+IF($I$83="x",2)-IF($C$83="x",4)-$C$112-10+IF(H553="x",1)+I553+$M$77+IF(H555="x",1)+IF(J555="x",1)+IF($M$76="x",2)+J553+IF($M$85="x",1)+IF($M$113="x",1)+IF($M$120="x",2)+IF($M$119="x",2)+IF($M$105="x",1)+IF($M$110="x",1)+IF($M$111="x",2)+IF($M$112="x",4)+IF($M$108="x",1)-IF($M$109="x",1)-IF($M$99="x",1)+IF($M$90="x",1)
&amp;"/"&amp;SUM($C$3,$I$2)-$C$120+IF($C$75="x",2)+$I$16-$B$10+$M$94+IF($C$77="x",2)-IF($C$78="x",4)-IF($I$78="x",1)-IF($C$79="x",4)+IF($C$80="x",1)-IF($I$77="x",2)-IF($I$90="x",2)+IF($I$83="x",2)-IF($C$83="x",4)-$C$112-15+IF(H553="x",1)+I553+$M$77+IF(H555="x",1)+IF(J555="x",1)+IF($M$76="x",2)+J553+IF($M$85="x",1)+IF($M$113="x",1)+IF($M$120="x",2)+IF($M$119="x",2)+IF($M$105="x",1)+IF($M$110="x",1)+IF($M$111="x",2)+IF($M$112="x",4)+IF($M$108="x",1)-IF($M$109="x",1)-IF($M$99="x",1)+IF($M$90="x",1))))))</f>
        <v>0</v>
      </c>
      <c r="C553" s="114" t="str">
        <f>_xlfn.IFS($C$7="Minimaalinen","1n3",$C$7="Taskukokoinen","1n4",$C$7="Hyvin pieni","1n6",$C$7="Pieni","1n8",$C$7="Keskikokoinen","1n10",$C$7="Iso","2n8",$C$7="Valtava","3n8",$C$7="Suunnaton","4n8",$C$7="Giganttinen","6n8")</f>
        <v>1n10</v>
      </c>
      <c r="D553" s="119">
        <f>IF($I$2&lt;0,$I$2,INT($I$2*1.5))+($C$120*2)+I553+$M$77+IF(I555="x",2)+IF(K555="x",2)+IF($M$119="x",2)+IF($M$108="x",1)+$M$94-IF($M$109="x",1)+K553</f>
        <v>0</v>
      </c>
      <c r="E553" s="114" t="str">
        <f>_xlfn.IFS($C$7="Minimaalinen","2n3",$C$7="Taskukokoinen","2n4",$C$7="Hyvin pieni","2n6",$C$7="Pieni","2n8",$C$7="Keskikokoinen","2n10",$C$7="Iso","4n8",$C$7="Valtava","6n8",$C$7="Suunnaton","8n8",$C$7="Giganttinen","12n8")</f>
        <v>2n10</v>
      </c>
      <c r="F553" s="120">
        <f>SUM(D553*2)</f>
        <v>0</v>
      </c>
      <c r="G553" s="120" t="str">
        <f>(IF($I$89="x","50 %","")&amp;(IF($C$81="x","20 %",""))&amp;(IF($C$82="x","50 %","")))</f>
        <v/>
      </c>
      <c r="H553" s="28"/>
      <c r="I553" s="17">
        <v>0</v>
      </c>
      <c r="J553" s="17">
        <v>0</v>
      </c>
      <c r="K553" s="17">
        <v>0</v>
      </c>
      <c r="AB553" s="142"/>
      <c r="AI553" s="48"/>
      <c r="AJ553" s="48"/>
      <c r="AK553" s="48"/>
      <c r="AL553" s="48"/>
    </row>
    <row r="554" spans="1:38" x14ac:dyDescent="0.2">
      <c r="B554" s="15"/>
      <c r="C554" s="15"/>
      <c r="D554" s="15"/>
      <c r="F554" s="15"/>
      <c r="G554" s="15"/>
      <c r="H554" s="14" t="s">
        <v>220</v>
      </c>
      <c r="I554" s="14" t="s">
        <v>221</v>
      </c>
      <c r="J554" s="14" t="s">
        <v>222</v>
      </c>
      <c r="K554" s="14" t="s">
        <v>223</v>
      </c>
      <c r="AI554" s="40"/>
      <c r="AJ554" s="40"/>
      <c r="AK554" s="40"/>
      <c r="AL554" s="40"/>
    </row>
    <row r="555" spans="1:38" x14ac:dyDescent="0.2">
      <c r="B555" s="15"/>
      <c r="C555" s="15"/>
      <c r="D555" s="15"/>
      <c r="F555" s="15"/>
      <c r="G555" s="15"/>
      <c r="H555" s="28"/>
      <c r="I555" s="28"/>
      <c r="J555" s="28"/>
      <c r="K555" s="28"/>
      <c r="AB555" s="50"/>
      <c r="AC555" s="50"/>
      <c r="AD555" s="50"/>
      <c r="AE555" s="50"/>
      <c r="AF555" s="50"/>
      <c r="AG555" s="50"/>
      <c r="AH555" s="50"/>
      <c r="AI555" s="50"/>
      <c r="AJ555" s="50"/>
      <c r="AK555" s="50"/>
      <c r="AL555" s="50"/>
    </row>
    <row r="556" spans="1:38" x14ac:dyDescent="0.2">
      <c r="B556" s="15"/>
      <c r="C556" s="15"/>
      <c r="D556" s="15"/>
      <c r="F556" s="15"/>
      <c r="G556" s="15"/>
      <c r="H556" s="15"/>
      <c r="I556" s="15"/>
      <c r="AB556" s="50"/>
      <c r="AC556" s="50"/>
      <c r="AD556" s="50"/>
      <c r="AG556" s="50"/>
      <c r="AH556" s="50"/>
      <c r="AI556" s="50"/>
      <c r="AJ556" s="50"/>
      <c r="AK556" s="50"/>
      <c r="AL556" s="50"/>
    </row>
    <row r="557" spans="1:38" x14ac:dyDescent="0.2">
      <c r="AB557" s="46"/>
      <c r="AC557" s="48"/>
      <c r="AD557" s="48"/>
      <c r="AE557" s="48"/>
      <c r="AF557" s="48"/>
      <c r="AG557" s="48"/>
      <c r="AH557" s="48"/>
      <c r="AI557" s="48"/>
      <c r="AJ557" s="48"/>
      <c r="AK557" s="48"/>
      <c r="AL557" s="48"/>
    </row>
    <row r="558" spans="1:38" x14ac:dyDescent="0.2">
      <c r="A558" s="34" t="s">
        <v>323</v>
      </c>
      <c r="B558" s="130" t="s">
        <v>1</v>
      </c>
      <c r="C558" s="130" t="s">
        <v>2</v>
      </c>
      <c r="D558" s="130" t="s">
        <v>3</v>
      </c>
      <c r="E558" s="130" t="s">
        <v>229</v>
      </c>
      <c r="F558" s="130" t="s">
        <v>3</v>
      </c>
      <c r="G558" s="130" t="s">
        <v>45</v>
      </c>
      <c r="H558" s="14" t="s">
        <v>179</v>
      </c>
      <c r="I558" s="130" t="s">
        <v>242</v>
      </c>
      <c r="J558" s="130" t="s">
        <v>224</v>
      </c>
      <c r="K558" s="130" t="s">
        <v>225</v>
      </c>
      <c r="AB558" s="47"/>
      <c r="AC558" s="113"/>
      <c r="AD558" s="114"/>
      <c r="AE558" s="113"/>
      <c r="AF558" s="114"/>
      <c r="AG558" s="114"/>
      <c r="AH558" s="114"/>
      <c r="AI558" s="40"/>
      <c r="AJ558" s="40"/>
      <c r="AK558" s="40"/>
      <c r="AL558" s="40"/>
    </row>
    <row r="559" spans="1:38" x14ac:dyDescent="0.2">
      <c r="A559" s="58" t="s">
        <v>8</v>
      </c>
      <c r="B559" s="119">
        <f>IF($I$85="x","PAINISSA",IF($C$3&lt;=5,SUM($C$3,$I$2)-$C$120+IF($C$75="x",2)+$I$16-$B$10+$M$94+IF($C$77="x",2)-IF($C$78="x",4)-IF($I$78="x",1)-IF($C$79="x",4)+IF($C$80="x",1)-IF($I$77="x",2)-IF($I$90="x",2)+IF($I$83="x",2)-IF($C$75="x",4)-$C$112+IF(H559="x",1)+I559+$M$77+IF(H561="x",1)+IF(J561="x",1)+IF($M$76="x",2)+J559+IF($M$85="x",1)+IF($M$113="x",1)+IF($M$120="x",2)+IF($M$119="x",2)+IF($M$105="x",1)+IF($M$110="x",1)+IF($M$111="x",2)+IF($M$112="x",4)+IF($M$108="x",1)-IF($M$109="x",1)-IF($M$99="x",1)+IF($M$90="x",1),
IF(AND($C$3&gt;5,$C$3&lt;11),SUM($C$3,$I$2)-$C$120+IF($C$75="x",2)+$I$16-$B$10+$M$94+IF($C$77="x",2)-IF($C$78="x",4)-IF($I$78="x",1)-IF($C$79="x",4)+IF($C$80="x",1)-IF($I$77="x",2)-IF($I$90="x",2)+IF($I$83="x",2)-IF($C$83="x",4)-$C$112+IF(H559="x",1)+I559+$M$77+IF(H561="x",1)+IF(J561="x",1)+IF($M$76="x",2)+J559+IF($M$85="x",1)+IF($M$113="x",1)+IF($M$120="x",2)+IF($M$119="x",2)+IF($M$105="x",1)+IF($M$110="x",1)+IF($M$111="x",2)+IF($M$112="x",4)+IF($M$108="x",1)-IF($M$109="x",1)-IF($M$99="x",1)+IF($M$90="x",1)
&amp;"/"&amp;SUM($C$3,$I$2)-$C$120+IF($C$75="x",2)+$I$16-$B$10+$M$94+IF($C$77="x",2)-IF($C$78="x",4)-IF($I$78="x",1)-IF($C$79="x",4)+IF($C$80="x",1)-IF($I$77="x",2)-IF($I$90="x",2)+IF($I$83="x",2)-IF($C$83="x",4)-$C$112-5+IF(H559="x",1)+I559+$M$77+IF(H561="x",1)+IF(J561="x",1)+IF($M$76="x",2)+J559+IF($M$85="x",1)+IF($M$113="x",1)+IF($M$120="x",2)+IF($M$119="x",2)+IF($M$105="x",1)+IF($M$110="x",1)+IF($M$111="x",2)+IF($M$112="x",4)+IF($M$108="x",1)-IF($M$109="x",1)-IF($M$99="x",1)+IF($M$90="x",1),
IF(AND($C$3&gt;10,$C$3&lt;16),SUM($C$3,$I$2)-$C$120+IF($C$75="x",2)+$I$16-$B$10+$M$94+IF($C$77="x",2)-IF($C$78="x",4)-IF($I$78="x",1)-IF($C$79="x",4)+IF($C$80="x",1)-IF($I$77="x",2)-IF($I$90="x",2)+IF($I$83="x",2)-IF($C$83="x",4)-$C$112+IF(H559="x",1)+I559+$M$77+IF(J561="x",1)+IF($M$76="x",2)+J559+IF($M$85="x",1)+IF($M$113="x",1)+IF($M$120="x",2)+IF($M$119="x",2)+IF($M$105="x",1)+IF($M$110="x",1)+IF($M$111="x",2)+IF($M$112="x",4)+IF($M$108="x",1)-IF($M$109="x",1)+IF($M$99="x",20)-IF($M$99="x",1)+IF($M$90="x",1)
&amp;"/"&amp;SUM($C$3,$I$2)-$C$120+IF($C$75="x",2)+$I$16-$B$10+$M$94+IF($C$77="x",2)-IF($C$78="x",4)-IF($I$78="x",1)-IF($C$79="x",4)+IF($C$80="x",1)-IF($I$77="x",2)-IF($I$90="x",2)+IF($I$83="x",2)-IF($C$83="x",4)-$C$112-5+IF(H559="x",1)+I559+$M$77+IF(H561="x",1)+IF(J561="x",1)+IF($M$76="x",2)+J559+IF($M$85="x",1)+IF($M$113="x",1)+IF($M$120="x",2)+IF($M$119="x",2)+IF($M$105="x",1)+IF($M$110="x",1)+IF($M$111="x",2)+IF($M$112="x",4)+IF($M$108="x",1)-IF($M$109="x",1)-IF($M$99="x",1)+IF($M$90="x",1)
&amp;"/"&amp;SUM($C$3,$I$2)-$C$120+IF($C$75="x",2)+$I$16-$B$10+$M$94+IF($C$77="x",2)-IF($C$78="x",4)-IF($I$78="x",1)-IF($C$79="x",4)+IF($C$80="x",1)-IF($I$77="x",2)-IF($I$90="x",2)+IF($I$83="x",2)-IF($C$83="x",4)-$C$112-10+IF(H559="x",1)+I559+$M$77+IF(H561="x",1)+IF(J561="x",1)+IF($M$76="x",2)+J559+IF($M$85="x",1)+IF($M$113="x",1)+IF($M$120="x",2)+IF($M$119="x",2)+IF($M$105="x",1)+IF($M$110="x",1)+IF($M$111="x",2)+IF($M$112="x",4)+IF($M$108="x",1)-IF($M$109="x",1)-IF($M$99="x",1)+IF($M$90="x",1),
IF(AND($C$3&gt;15),SUM($C$3,$I$2)-$C$120+IF($C$75="x",2)+$I$16-$B$10+$M$94+IF($C$77="x",2)-IF($C$78="x",4)-IF($I$78="x",1)-IF($C$79="x",4)+IF($C$80="x",1)-IF($I$77="x",2)-IF($I$90="x",2)+IF($I$83="x",2)-IF($C$83="x",4)-$C$112+IF(H559="x",1)+I559+$M$77+IF(H561="x",1)+IF(J561="x",1)+IF($M$76="x",2)+J559+IF($M$85="x",1)+IF($M$113="x",1)+IF($M$120="x",2)+IF($M$119="x",2)+IF($M$105="x",1)+IF($M$110="x",1)+IF($M$111="x",2)+IF($M$112="x",4)+IF($M$108="x",1)-IF($M$109="x",1)-IF($M$99="x",1)+IF($M$90="x",1)
&amp;"/"&amp;SUM($C$3,$I$2)-$C$120+IF($C$75="x",2)+$I$16-$B$10+$M$94+IF($C$77="x",2)-IF($C$78="x",4)-IF($I$78="x",1)-IF($C$79="x",4)+IF($C$80="x",1)-IF($I$77="x",2)-IF($I$90="x",2)+IF($I$83="x",2)-IF($C$83="x",4)-$C$112-5+IF(H559="x",1)+I559+$M$77+IF(H561="x",1)+IF(J561="x",1)+IF($M$76="x",2)+J559
+IF($M$85="x",1)+IF($M$113="x",1)+IF($M$120="x",2)+IF($M$119="x",2)+IF($M$105="x",1)+IF($M$110="x",1)+IF($M$111="x",2)+IF($M$112="x",4)+IF($M$108="x",1)-IF($M$109="x",1)-IF($M$99="x",1)+IF($M$90="x",1)
&amp;"/"&amp;SUM($C$3,$I$2)-$C$120+IF($C$75="x",2)+$I$16-$B$10+$M$94+IF($C$77="x",2)-IF($C$78="x",4)-IF($I$78="x",1)-IF($C$79="x",4)+IF($C$80="x",1)-IF($I$77="x",2)-IF($I$90="x",2)+IF($I$83="x",2)-IF($C$83="x",4)-$C$112-10+IF(H559="x",1)+I559+$M$77+IF(H561="x",1)+IF(J561="x",1)+IF($M$76="x",2)+J559+IF($M$85="x",1)+IF($M$113="x",1)+IF($M$120="x",2)+IF($M$119="x",2)+IF($M$105="x",1)+IF($M$110="x",1)+IF($M$111="x",2)+IF($M$112="x",4)+IF($M$108="x",1)-IF($M$109="x",1)-IF($M$99="x",1)+IF($M$90="x",1)
&amp;"/"&amp;SUM($C$3,$I$2)-$C$120+IF($C$75="x",2)+$I$16-$B$10+$M$94+IF($C$77="x",2)-IF($C$78="x",4)-IF($I$78="x",1)-IF($C$79="x",4)+IF($C$80="x",1)-IF($I$77="x",2)-IF($I$90="x",2)+IF($I$83="x",2)-IF($C$83="x",4)-$C$112-15+IF(H559="x",1)+I559+$M$77+IF(H561="x",1)+IF(J561="x",1)+IF($M$76="x",2)+J559+IF($M$85="x",1)+IF($M$113="x",1)+IF($M$120="x",2)+IF($M$119="x",2)+IF($M$105="x",1)+IF($M$110="x",1)+IF($M$111="x",2)+IF($M$112="x",4)+IF($M$108="x",1)-IF($M$109="x",1)-IF($M$99="x",1)+IF($M$90="x",1))))))</f>
        <v>0</v>
      </c>
      <c r="C559" s="114" t="str">
        <f>_xlfn.IFS($C$7="Minimaalinen","1n2",$C$7="Taskukokoinen","1n3",$C$7="Hyvin pieni","1n4",$C$7="Pieni","1n6",$C$7="Keskikokoinen","2n4",$C$7="Iso","2n6",$C$7="Valtava","3n6",$C$7="Suunnaton","4n6",$C$7="Giganttinen","6n6")</f>
        <v>2n4</v>
      </c>
      <c r="D559" s="119">
        <f>IF($I$2&lt;0,$I$2,INT($I$2*1.5))+($C$120*2)+I559+$M$77+IF(I561="x",2)+IF(K561="x",2)+IF($M$119="x",2)+IF($M$108="x",1)+$M$94-IF($M$109="x",1)+K559</f>
        <v>0</v>
      </c>
      <c r="E559" s="114" t="str">
        <f>_xlfn.IFS($C$7="Minimaalinen","4n2",$C$7="Taskukokoinen","4n3",$C$7="Hyvin pieni","4n4",$C$7="Pieni","4n6",$C$7="Keskikokoinen","8n4",$C$7="Iso","8n6",$C$7="Valtava","12n6",$C$7="Suunnaton","16n6",$C$7="Giganttinen","24n6")</f>
        <v>8n4</v>
      </c>
      <c r="F559" s="120">
        <f>SUM(D559*4)</f>
        <v>0</v>
      </c>
      <c r="G559" s="120" t="str">
        <f>(IF($I$89="x","50 %","")&amp;(IF($C$81="x","20 %",""))&amp;(IF($C$82="x","50 %","")))</f>
        <v/>
      </c>
      <c r="H559" s="28"/>
      <c r="I559" s="17">
        <v>0</v>
      </c>
      <c r="J559" s="17">
        <v>0</v>
      </c>
      <c r="K559" s="17">
        <v>0</v>
      </c>
      <c r="AB559" s="142"/>
      <c r="AI559" s="48"/>
      <c r="AJ559" s="48"/>
      <c r="AK559" s="48"/>
      <c r="AL559" s="48"/>
    </row>
    <row r="560" spans="1:38" x14ac:dyDescent="0.2">
      <c r="B560" s="15"/>
      <c r="C560" s="15"/>
      <c r="D560" s="15"/>
      <c r="F560" s="15"/>
      <c r="G560" s="15"/>
      <c r="H560" s="14" t="s">
        <v>220</v>
      </c>
      <c r="I560" s="14" t="s">
        <v>221</v>
      </c>
      <c r="J560" s="14" t="s">
        <v>222</v>
      </c>
      <c r="K560" s="14" t="s">
        <v>223</v>
      </c>
      <c r="AI560" s="40"/>
      <c r="AJ560" s="40"/>
      <c r="AK560" s="40"/>
      <c r="AL560" s="40"/>
    </row>
    <row r="561" spans="1:38" x14ac:dyDescent="0.2">
      <c r="B561" s="15"/>
      <c r="C561" s="15"/>
      <c r="D561" s="15"/>
      <c r="F561" s="15"/>
      <c r="G561" s="15"/>
      <c r="H561" s="28"/>
      <c r="I561" s="28"/>
      <c r="J561" s="28"/>
      <c r="K561" s="28"/>
      <c r="L561" s="109"/>
      <c r="M561" s="109"/>
      <c r="N561" s="110"/>
      <c r="AH561" s="49"/>
    </row>
    <row r="562" spans="1:38" x14ac:dyDescent="0.2">
      <c r="A562" s="81"/>
      <c r="B562" s="81"/>
      <c r="C562" s="81"/>
      <c r="D562" s="81"/>
      <c r="E562" s="81"/>
      <c r="F562" s="81"/>
      <c r="G562" s="81"/>
      <c r="H562" s="81"/>
      <c r="I562" s="81"/>
      <c r="J562" s="81"/>
      <c r="K562" s="81"/>
      <c r="L562" s="81"/>
      <c r="M562" s="81"/>
      <c r="N562" s="90"/>
      <c r="AH562" s="49"/>
      <c r="AI562" s="49"/>
      <c r="AJ562" s="40"/>
      <c r="AL562" s="49"/>
    </row>
    <row r="563" spans="1:38" x14ac:dyDescent="0.2">
      <c r="B563" s="15"/>
      <c r="C563" s="15"/>
      <c r="D563" s="15"/>
      <c r="F563" s="15"/>
      <c r="G563" s="15"/>
      <c r="H563" s="15"/>
      <c r="I563" s="15"/>
      <c r="AB563" s="46"/>
      <c r="AC563" s="48"/>
      <c r="AD563" s="48"/>
      <c r="AE563" s="48"/>
      <c r="AF563" s="48"/>
      <c r="AG563" s="48"/>
      <c r="AH563" s="48"/>
      <c r="AI563" s="48"/>
      <c r="AJ563" s="48"/>
      <c r="AK563" s="48"/>
      <c r="AL563" s="48"/>
    </row>
    <row r="564" spans="1:38" x14ac:dyDescent="0.2">
      <c r="A564" s="34" t="s">
        <v>234</v>
      </c>
      <c r="B564" s="29"/>
      <c r="F564" s="11"/>
      <c r="AB564" s="47"/>
      <c r="AC564" s="113"/>
      <c r="AD564" s="114"/>
      <c r="AE564" s="113"/>
      <c r="AF564" s="114"/>
      <c r="AG564" s="114"/>
      <c r="AH564" s="114"/>
      <c r="AI564" s="40"/>
      <c r="AJ564" s="40"/>
      <c r="AK564" s="40"/>
      <c r="AL564" s="40"/>
    </row>
    <row r="565" spans="1:38" x14ac:dyDescent="0.2">
      <c r="A565" s="10"/>
      <c r="B565" s="29"/>
      <c r="F565" s="11"/>
      <c r="AB565" s="47"/>
      <c r="AC565" s="113"/>
      <c r="AD565" s="114"/>
      <c r="AE565" s="113"/>
      <c r="AF565" s="114"/>
      <c r="AG565" s="114"/>
      <c r="AH565" s="114"/>
      <c r="AI565" s="40"/>
      <c r="AJ565" s="40"/>
      <c r="AK565" s="40"/>
      <c r="AL565" s="40"/>
    </row>
    <row r="566" spans="1:38" x14ac:dyDescent="0.2">
      <c r="A566" s="34" t="s">
        <v>252</v>
      </c>
      <c r="B566" s="11" t="s">
        <v>1</v>
      </c>
      <c r="C566" s="11" t="s">
        <v>2</v>
      </c>
      <c r="D566" s="11" t="s">
        <v>3</v>
      </c>
      <c r="E566" s="11" t="s">
        <v>229</v>
      </c>
      <c r="F566" s="11" t="s">
        <v>3</v>
      </c>
      <c r="G566" s="11" t="s">
        <v>45</v>
      </c>
      <c r="H566" s="14" t="s">
        <v>179</v>
      </c>
      <c r="I566" s="130" t="s">
        <v>242</v>
      </c>
      <c r="J566" s="130" t="s">
        <v>224</v>
      </c>
      <c r="K566" s="130" t="s">
        <v>225</v>
      </c>
      <c r="AB566" s="142"/>
      <c r="AI566" s="48"/>
      <c r="AJ566" s="48"/>
      <c r="AK566" s="48"/>
      <c r="AL566" s="48"/>
    </row>
    <row r="567" spans="1:38" x14ac:dyDescent="0.2">
      <c r="A567" s="58" t="s">
        <v>8</v>
      </c>
      <c r="B567" s="119">
        <f>IF($I$85="x","PAINISSA",IF($C$3&lt;=5,SUM($C$3,$I$2)-$C$120+IF($C$75="x",2)+$I$16-$B$10+$M$94+IF($C$77="x",2)-IF($C$78="x",4)-IF($I$78="x",1)-IF($C$79="x",4)+IF($C$80="x",1)-IF($I$77="x",2)-IF($I$90="x",2)+IF($I$83="x",2)-IF($C$75="x",4)-$C$112+I567+$M$77+IF(H569="x",1)+IF(J569="x",1)+IF($M$76="x",2)+J567+IF($M$85="x",1)+IF($M$113="x",1)+IF($M$120="x",2)+IF($M$119="x",2)+IF($M$105="x",1)+IF($M$110="x",1)+IF($M$111="x",2)+IF($M$112="x",4)+IF($M$108="x",1)-IF($M$109="x",1)-IF($M$99="x",1)+IF($M$90="x",1),
IF(AND($C$3&gt;5,$C$3&lt;11),SUM($C$3,$I$2)-$C$120+IF($C$75="x",2)+$I$16-$B$10+$M$94+IF($C$77="x",2)-IF($C$78="x",4)-IF($I$78="x",1)-IF($C$79="x",4)+IF($C$80="x",1)-IF($I$77="x",2)-IF($I$90="x",2)+IF($I$83="x",2)-IF($C$83="x",4)-$C$112+I567+$M$77+IF(H569="x",1)+IF(J569="x",1)+IF($M$76="x",2)+J567+IF($M$85="x",1)+IF($M$113="x",1)+IF($M$120="x",2)+IF($M$119="x",2)+IF($M$105="x",1)+IF($M$110="x",1)+IF($M$111="x",2)+IF($M$112="x",4)+IF($M$108="x",1)-IF($M$109="x",1)-IF($M$99="x",1)+IF($M$90="x",1)
&amp;"/"&amp;SUM($C$3,$I$2)-$C$120+IF($C$75="x",2)+$I$16-$B$10+$M$94+IF($C$77="x",2)-IF($C$78="x",4)-IF($I$78="x",1)-IF($C$79="x",4)+IF($C$80="x",1)-IF($I$77="x",2)-IF($I$90="x",2)+IF($I$83="x",2)-IF($C$83="x",4)-$C$112-5+I567+$M$77+IF(H569="x",1)+IF(J569="x",1)+IF($M$76="x",2)+J567+IF($M$85="x",1)+IF($M$113="x",1)+IF($M$120="x",2)+IF($M$119="x",2)+IF($M$105="x",1)+IF($M$110="x",1)+IF($M$111="x",2)+IF($M$112="x",4)+IF($M$108="x",1)-IF($M$109="x",1)-IF($M$99="x",1)+IF($M$90="x",1),
IF(AND($C$3&gt;10,$C$3&lt;16),SUM($C$3,$I$2)-$C$120+IF($C$75="x",2)+$I$16-$B$10+$M$94+IF($C$77="x",2)-IF($C$78="x",4)-IF($I$78="x",1)-IF($C$79="x",4)+IF($C$80="x",1)-IF($I$77="x",2)-IF($I$90="x",2)+IF($I$83="x",2)-IF($C$83="x",4)-$C$112+I567+$M$77+IF(J569="x",1)+IF($M$76="x",2)+J567+IF($M$85="x",1)+IF($M$113="x",1)+IF($M$120="x",2)+IF($M$119="x",2)+IF($M$105="x",1)+IF($M$110="x",1)+IF($M$111="x",2)+IF($M$112="x",4)+IF($M$108="x",1)-IF($M$109="x",1)+IF($M$99="x",20)-IF($M$99="x",1)+IF($M$90="x",1)
&amp;"/"&amp;SUM($C$3,$I$2)-$C$120+IF($C$75="x",2)+$I$16-$B$10+$M$94+IF($C$77="x",2)-IF($C$78="x",4)-IF($I$78="x",1)-IF($C$79="x",4)+IF($C$80="x",1)-IF($I$77="x",2)-IF($I$90="x",2)+IF($I$83="x",2)-IF($C$83="x",4)-$C$112-5+I567+$M$77+IF(H569="x",1)+IF(J569="x",1)+IF($M$76="x",2)+J567+IF($M$85="x",1)+IF($M$113="x",1)+IF($M$120="x",2)+IF($M$119="x",2)+IF($M$105="x",1)+IF($M$110="x",1)+IF($M$111="x",2)+IF($M$112="x",4)+IF($M$108="x",1)-IF($M$109="x",1)-IF($M$99="x",1)+IF($M$90="x",1)
&amp;"/"&amp;SUM($C$3,$I$2)-$C$120+IF($C$75="x",2)+$I$16-$B$10+$M$94+IF($C$77="x",2)-IF($C$78="x",4)-IF($I$78="x",1)-IF($C$79="x",4)+IF($C$80="x",1)-IF($I$77="x",2)-IF($I$90="x",2)+IF($I$83="x",2)-IF($C$83="x",4)-$C$112-10+I567+$M$77+IF(H569="x",1)+IF(J569="x",1)+IF($M$76="x",2)+J567+IF($M$85="x",1)+IF($M$113="x",1)+IF($M$120="x",2)+IF($M$119="x",2)+IF($M$105="x",1)+IF($M$110="x",1)+IF($M$111="x",2)+IF($M$112="x",4)+IF($M$108="x",1)-IF($M$109="x",1)-IF($M$99="x",1)+IF($M$90="x",1),
IF(AND($C$3&gt;15),SUM($C$3,$I$2)-$C$120+IF($C$75="x",2)+$I$16-$B$10+$M$94+IF($C$77="x",2)-IF($C$78="x",4)-IF($I$78="x",1)-IF($C$79="x",4)+IF($C$80="x",1)-IF($I$77="x",2)-IF($I$90="x",2)+IF($I$83="x",2)-IF($C$83="x",4)-$C$112+I567+$M$77+IF(H569="x",1)+IF(J569="x",1)+IF($M$76="x",2)+J567+IF($M$85="x",1)+IF($M$113="x",1)+IF($M$120="x",2)+IF($M$119="x",2)+IF($M$105="x",1)+IF($M$110="x",1)+IF($M$111="x",2)+IF($M$112="x",4)+IF($M$108="x",1)-IF($M$109="x",1)-IF($M$99="x",1)+IF($M$90="x",1)
&amp;"/"&amp;SUM($C$3,$I$2)-$C$120+IF($C$75="x",2)+$I$16-$B$10+$M$94+IF($C$77="x",2)-IF($C$78="x",4)-IF($I$78="x",1)-IF($C$79="x",4)+IF($C$80="x",1)-IF($I$77="x",2)-IF($I$90="x",2)+IF($I$83="x",2)-IF($C$83="x",4)-$C$112-5+I567+$M$77+IF(H569="x",1)+IF(J569="x",1)+IF($M$76="x",2)+J567
+IF($M$85="x",1)+IF($M$113="x",1)+IF($M$120="x",2)+IF($M$119="x",2)+IF($M$105="x",1)+IF($M$110="x",1)+IF($M$111="x",2)+IF($M$112="x",4)+IF($M$108="x",1)-IF($M$109="x",1)-IF($M$99="x",1)+IF($M$90="x",1)
&amp;"/"&amp;SUM($C$3,$I$2)-$C$120+IF($C$75="x",2)+$I$16-$B$10+$M$94+IF($C$77="x",2)-IF($C$78="x",4)-IF($I$78="x",1)-IF($C$79="x",4)+IF($C$80="x",1)-IF($I$77="x",2)-IF($I$90="x",2)+IF($I$83="x",2)-IF($C$83="x",4)-$C$112-10+I567+$M$77+IF(H569="x",1)+IF(J569="x",1)+IF($M$76="x",2)+J567+IF($M$85="x",1)+IF($M$113="x",1)+IF($M$120="x",2)+IF($M$119="x",2)+IF($M$105="x",1)+IF($M$110="x",1)+IF($M$111="x",2)+IF($M$112="x",4)+IF($M$108="x",1)-IF($M$109="x",1)-IF($M$99="x",1)+IF($M$90="x",1)
&amp;"/"&amp;SUM($C$3,$I$2)-$C$120+IF($C$75="x",2)+$I$16-$B$10+$M$94+IF($C$77="x",2)-IF($C$78="x",4)-IF($I$78="x",1)-IF($C$79="x",4)+IF($C$80="x",1)-IF($I$77="x",2)-IF($I$90="x",2)+IF($I$83="x",2)-IF($C$83="x",4)-$C$112-15+I567+$M$77+IF(H569="x",1)+IF(J569="x",1)+IF($M$76="x",2)+J567+IF($M$85="x",1)+IF($M$113="x",1)+IF($M$120="x",2)+IF($M$119="x",2)+IF($M$105="x",1)+IF($M$110="x",1)+IF($M$111="x",2)+IF($M$112="x",4)+IF($M$108="x",1)-IF($M$109="x",1)-IF($M$99="x",1)+IF($M$90="x",1))))))</f>
        <v>0</v>
      </c>
      <c r="C567" s="114" t="str">
        <f>_xlfn.IFS($C$7="Minimaalinen","1n2",$C$7="Taskukokoinen","1n3",$C$7="Hyvin pieni","1n4",$C$7="Pieni","1n6",$C$7="Keskikokoinen","1n8",$C$7="Iso","2n6",$C$7="Valtava","3n6",$C$7="Suunnaton","4n6",$C$7="Giganttinen","6n6")</f>
        <v>1n8</v>
      </c>
      <c r="D567" s="119">
        <f>IF($I$2&lt;0,$I$2,INT($I$2*1.5))+($C$120*2)+I567+$M$77+IF(I569="x",2)+IF(K569="x",2)+IF($M$119="x",2)+IF($M$108="x",1)+$M$94-IF($M$109="x",1)+K567</f>
        <v>0</v>
      </c>
      <c r="E567" s="114" t="str">
        <f>_xlfn.IFS($C$7="Minimaalinen","2n2",$C$7="Taskukokoinen","2n3",$C$7="Hyvin pieni","2n4",$C$7="Pieni","2n6",$C$7="Keskikokoinen","2n8",$C$7="Iso","4n6",$C$7="Valtava","6n6",$C$7="Suunnaton","8n6",$C$7="Giganttinen","12n6")</f>
        <v>2n8</v>
      </c>
      <c r="F567" s="120">
        <f>SUM(D567*2)</f>
        <v>0</v>
      </c>
      <c r="G567" s="120" t="str">
        <f>(IF($I$89="x","50 %","")&amp;(IF($C$81="x","20 %",""))&amp;(IF($C$82="x","50 %",""&amp;IF($M$91="x","50 % (5 j 20 %)",""&amp;IF($M$115="x","50 % (5 j 20 %)",""&amp;IF($M$120="x","20 %",""))))))</f>
        <v/>
      </c>
      <c r="H567" s="28"/>
      <c r="I567" s="17">
        <v>0</v>
      </c>
      <c r="J567" s="17">
        <v>0</v>
      </c>
      <c r="K567" s="17">
        <v>0</v>
      </c>
      <c r="AI567" s="40"/>
      <c r="AJ567" s="40"/>
      <c r="AK567" s="40"/>
      <c r="AL567" s="40"/>
    </row>
    <row r="568" spans="1:38" x14ac:dyDescent="0.2">
      <c r="A568" s="25" t="s">
        <v>327</v>
      </c>
      <c r="B568" s="121">
        <f>IF($I$85="x","PAINISSA",IF($C$3&lt;=5,SUM($C$3,$I$2)-$C$120+IF($C$75="x",2)+$I$16-$B$10+$M$94+IF($C$77="x",2)-IF($C$78="x",4)-IF($I$78="x",1)-IF($C$79="x",4)+IF($C$80="x",1)-IF($I$77="x",2)-IF($I$90="x",2)+IF($I$83="x",2)-IF($C$75="x",4)-$C$112+I567+$M$77+IF(H569="x",1)+IF(J569="x",1)+IF($M$76="x",2)+J567+IF($M$85="x",1)+IF($M$113="x",1)+IF($M$120="x",2)+IF($M$119="x",2)+IF($M$105="x",1)+IF($M$110="x",1)+IF($M$111="x",2)+IF($M$112="x",4)+IF($M$108="x",1)-IF($M$109="x",1)-IF($M$99="x",1)+IF($M$90="x",1)-IF($C$97="x",2,4),
IF(AND($C$3&gt;5,$C$3&lt;11),SUM($C$3,$I$2)-$C$120+IF($C$75="x",2)+$I$16-$B$10+$M$94+IF($C$77="x",2)-IF($C$78="x",4)-IF($I$78="x",1)-IF($C$79="x",4)+IF($C$80="x",1)-IF($I$77="x",2)-IF($I$90="x",2)+IF($I$83="x",2)-IF($C$83="x",4)-$C$112+I567+$M$77+IF(H569="x",1)+IF(J569="x",1)+IF($M$76="x",2)+J567+IF($M$85="x",1)+IF($M$113="x",1)+IF($M$120="x",2)+IF($M$119="x",2)+IF($M$105="x",1)+IF($M$110="x",1)+IF($M$111="x",2)+IF($M$112="x",4)+IF($M$108="x",1)-IF($M$109="x",1)-IF($M$99="x",1)+IF($M$90="x",1)-IF($C$97="x",2,4)
&amp;"/"&amp;SUM($C$3,$I$2)-$C$120+IF($C$75="x",2)+$I$16-$B$10+$M$94+IF($C$77="x",2)-IF($C$78="x",4)-IF($I$78="x",1)-IF($C$79="x",4)+IF($C$80="x",1)-IF($I$77="x",2)-IF($I$90="x",2)+IF($I$83="x",2)-IF($C$83="x",4)-$C$112-5+I567+$M$77+IF(H569="x",1)+IF(J569="x",1)+IF($M$76="x",2)+J567+IF($M$85="x",1)+IF($M$113="x",1)+IF($M$120="x",2)+IF($M$119="x",2)+IF($M$105="x",1)+IF($M$110="x",1)+IF($M$111="x",2)+IF($M$112="x",4)+IF($M$108="x",1)-IF($M$109="x",1)-IF($M$99="x",1)+IF($M$90="x",1)-IF($C$97="x",2,4),
IF(AND($C$3&gt;10,$C$3&lt;16),SUM($C$3,$I$2)-$C$120+IF($C$75="x",2)+$I$16-$B$10+$M$94+IF($C$77="x",2)-IF($C$78="x",4)-IF($I$78="x",1)-IF($C$79="x",4)+IF($C$80="x",1)-IF($I$77="x",2)-IF($I$90="x",2)+IF($I$83="x",2)-IF($C$83="x",4)-$C$112+I567+$M$77+IF(J569="x",1)+IF($M$76="x",2)+J567+IF($M$85="x",1)+IF($M$113="x",1)+IF($M$120="x",2)+IF($M$119="x",2)+IF($M$105="x",1)+IF($M$110="x",1)+IF($M$111="x",2)+IF($M$112="x",4)+IF($M$108="x",1)-IF($M$109="x",1)+IF($M$99="x",20)-IF($M$99="x",1)+IF($M$90="x",1)-IF($C$97="x",2,4)
&amp;"/"&amp;SUM($C$3,$I$2)-$C$120+IF($C$75="x",2)+$I$16-$B$10+$M$94+IF($C$77="x",2)-IF($C$78="x",4)-IF($I$78="x",1)-IF($C$79="x",4)+IF($C$80="x",1)-IF($I$77="x",2)-IF($I$90="x",2)+IF($I$83="x",2)-IF($C$83="x",4)-$C$112-5+I567+$M$77+IF(H569="x",1)+IF(J569="x",1)+IF($M$76="x",2)+J567+IF($M$85="x",1)+IF($M$113="x",1)+IF($M$120="x",2)+IF($M$119="x",2)+IF($M$105="x",1)+IF($M$110="x",1)+IF($M$111="x",2)+IF($M$112="x",4)+IF($M$108="x",1)-IF($M$109="x",1)-IF($M$99="x",1)+IF($M$90="x",1)-IF($C$97="x",2,4)
&amp;"/"&amp;SUM($C$3,$I$2)-$C$120+IF($C$75="x",2)+$I$16-$B$10+$M$94+IF($C$77="x",2)-IF($C$78="x",4)-IF($I$78="x",1)-IF($C$79="x",4)+IF($C$80="x",1)-IF($I$77="x",2)-IF($I$90="x",2)+IF($I$83="x",2)-IF($C$83="x",4)-$C$112-10+I567+$M$77+IF(H569="x",1)+IF(J569="x",1)+IF($M$76="x",2)+J567+IF($M$85="x",1)+IF($M$113="x",1)+IF($M$120="x",2)+IF($M$119="x",2)+IF($M$105="x",1)+IF($M$110="x",1)+IF($M$111="x",2)+IF($M$112="x",4)+IF($M$108="x",1)-IF($M$109="x",1)-IF($M$99="x",1)+IF($M$90="x",1)-IF($C$97="x",2,4),
IF(AND($C$3&gt;15),SUM($C$3,$I$2)-$C$120+IF($C$75="x",2)+$I$16-$B$10+$M$94+IF($C$77="x",2)-IF($C$78="x",4)-IF($I$78="x",1)-IF($C$79="x",4)+IF($C$80="x",1)-IF($I$77="x",2)-IF($I$90="x",2)+IF($I$83="x",2)-IF($C$83="x",4)-$C$112+I567+$M$77+IF(H569="x",1)+IF(J569="x",1)+IF($M$76="x",2)+J567+IF($M$85="x",1)+IF($M$113="x",1)+IF($M$120="x",2)+IF($M$119="x",2)+IF($M$105="x",1)+IF($M$110="x",1)+IF($M$111="x",2)+IF($M$112="x",4)+IF($M$108="x",1)-IF($M$109="x",1)-IF($M$99="x",1)+IF($M$90="x",1)-IF($C$97="x",2,4)
&amp;"/"&amp;SUM($C$3,$I$2)-$C$120+IF($C$75="x",2)+$I$16-$B$10+$M$94+IF($C$77="x",2)-IF($C$78="x",4)-IF($I$78="x",1)-IF($C$79="x",4)+IF($C$80="x",1)-IF($I$77="x",2)-IF($I$90="x",2)+IF($I$83="x",2)-IF($C$83="x",4)-$C$112-5+I567+$M$77+IF(H569="x",1)+IF(J569="x",1)+IF($M$76="x",2)+J567
+IF($M$85="x",1)+IF($M$113="x",1)+IF($M$120="x",2)+IF($M$119="x",2)+IF($M$105="x",1)+IF($M$110="x",1)+IF($M$111="x",2)+IF($M$112="x",4)+IF($M$108="x",1)-IF($M$109="x",1)-IF($M$99="x",1)+IF($M$90="x",1)-IF($C$97="x",2,4)
&amp;"/"&amp;SUM($C$3,$I$2)-$C$120+IF($C$75="x",2)+$I$16-$B$10+$M$94+IF($C$77="x",2)-IF($C$78="x",4)-IF($I$78="x",1)-IF($C$79="x",4)+IF($C$80="x",1)-IF($I$77="x",2)-IF($I$90="x",2)+IF($I$83="x",2)-IF($C$83="x",4)-$C$112-10+I567+$M$77+IF(H569="x",1)+IF(J569="x",1)+IF($M$76="x",2)+J567+IF($M$85="x",1)+IF($M$113="x",1)+IF($M$120="x",2)+IF($M$119="x",2)+IF($M$105="x",1)+IF($M$110="x",1)+IF($M$111="x",2)+IF($M$112="x",4)+IF($M$108="x",1)-IF($M$109="x",1)-IF($M$99="x",1)+IF($M$90="x",1)-IF($C$97="x",2,4)
&amp;"/"&amp;SUM($C$3,$I$2)-$C$120+IF($C$75="x",2)+$I$16-$B$10+$M$94+IF($C$77="x",2)-IF($C$78="x",4)-IF($I$78="x",1)-IF($C$79="x",4)+IF($C$80="x",1)-IF($I$77="x",2)-IF($I$90="x",2)+IF($I$83="x",2)-IF($C$83="x",4)-$C$112-15+I567+$M$77+IF(H569="x",1)+IF(J569="x",1)+IF($M$76="x",2)+J567+IF($M$85="x",1)+IF($M$113="x",1)+IF($M$120="x",2)+IF($M$119="x",2)+IF($M$105="x",1)+IF($M$110="x",1)+IF($M$111="x",2)+IF($M$112="x",4)+IF($M$108="x",1)-IF($M$109="x",1)-IF($M$99="x",1)+IF($M$90="x",1)-IF($C$97="x",2,4))))))</f>
        <v>-4</v>
      </c>
      <c r="C568" s="49" t="str">
        <f>_xlfn.IFS($C$7="Minimaalinen","1n2",$C$7="Taskukokoinen","1n3",$C$7="Hyvin pieni","1n4",$C$7="Pieni","1n6",$C$7="Keskikokoinen","1n8",$C$7="Iso","2n6",$C$7="Valtava","3n6",$C$7="Suunnaton","4n6",$C$7="Giganttinen","6n6")</f>
        <v>1n8</v>
      </c>
      <c r="D568" s="121">
        <f>SUM($I$2+$C$120)+I567+$M$77+IF(I569="x",2)+IF(K569="x",2)+IF($M$119="x",2)+IF($M$108="x",1)+$M$94-IF($M$109="x",1)+K567</f>
        <v>0</v>
      </c>
      <c r="E568" s="49" t="str">
        <f>_xlfn.IFS($C$7="Minimaalinen","2n2",$C$7="Taskukokoinen","2n3",$C$7="Hyvin pieni","2n4",$C$7="Pieni","2n6",$C$7="Keskikokoinen","2n8",$C$7="Iso","4n6",$C$7="Valtava","6n6",$C$7="Suunnaton","8n6",$C$7="Giganttinen","12n6")</f>
        <v>2n8</v>
      </c>
      <c r="F568" s="82">
        <f>SUM(D568*2)</f>
        <v>0</v>
      </c>
      <c r="G568" s="82" t="str">
        <f>(IF($I$89="x","50 %","")&amp;(IF($C$81="x","20 %",""))&amp;(IF($C$82="x","50 %",""&amp;IF($M$91="x","50 % (5 j 20 %)",""&amp;IF($M$115="x","50 % (5 j 20 %)",""&amp;IF($M$120="x","20 %",""))))))</f>
        <v/>
      </c>
      <c r="H568" s="14" t="s">
        <v>220</v>
      </c>
      <c r="I568" s="14" t="s">
        <v>221</v>
      </c>
      <c r="J568" s="14" t="s">
        <v>222</v>
      </c>
      <c r="K568" s="14" t="s">
        <v>223</v>
      </c>
    </row>
    <row r="569" spans="1:38" x14ac:dyDescent="0.2">
      <c r="A569" s="122" t="s">
        <v>330</v>
      </c>
      <c r="B569" s="123">
        <f>IF($I$85="x","PAINISSA",IF(AND($C$90="",$C$118=""),SUM($C$3,$I$2)-$C$120+IF($C$75="x",2)+$I$16-$B$10+$M$94+IF($C$77="x",2)-IF($C$78="x",4)-IF($I$78="x",1)-IF($C$79="x",4)+IF($C$80="x",1)-IF($I$77="x",2)-IF($I$90="x",2)+IF($I$83="x",2)-IF($C$75="x",4)-$C$112+IF(H567="x",1)+I567+$M$77+IF(H569="x",1)+IF(J569="x",1)+IF($M$76="x",2)+J567+IF($M$85="x",1)+IF($M$113="x",1)+IF($M$120="x",2)+IF($M$119="x",2)+IF($M$105="x",1)+IF($M$110="x",1)+IF($M$111="x",2)+IF($M$112="x",4)+IF($M$108="x",1)-IF($M$109="x",1)-IF($M$99="x",1)+IF($M$90="x",1)-IF($C$97="x",2,8),
IF(AND($C$90="x",$C$118=""),SUM($C$3,$I$2)-$C$120+IF($C$75="x",2)+$I$16-$B$10+$M$94+IF($C$77="x",2)-IF($C$78="x",4)-IF($I$78="x",1)-IF($C$79="x",4)+IF($C$80="x",1)-IF($I$77="x",2)-IF($I$90="x",2)+IF($I$83="x",2)-IF($C$83="x",4)-$C$112+IF(H567="x",1)+I567+$M$77+IF(H569="x",1)+IF(J569="x",1)+IF($M$76="x",2)+J567+IF($M$85="x",1)+IF($M$113="x",1)+IF($M$120="x",2)+IF($M$119="x",2)+IF($M$105="x",1)+IF($M$110="x",1)+IF($M$111="x",2)+IF($M$112="x",4)+IF($M$108="x",1)-IF($M$109="x",1)-IF($M$99="x",1)+IF($M$90="x",1)-IF($C$97="x",2,8)
&amp;"/"&amp;SUM($C$3,$I$2)-$C$120+IF($C$75="x",2)+$I$16-$B$10+$M$94+IF($C$77="x",2)-IF($C$78="x",4)-IF($I$78="x",1)-IF($C$79="x",4)+IF($C$80="x",1)-IF($I$77="x",2)-IF($I$90="x",2)+IF($I$83="x",2)-IF($C$83="x",4)-$C$112+IF(H567="x",1)+I567+$M$77+IF(H569="x",1)+IF(J569="x",1)+IF($M$76="x",2)+J567+IF($M$85="x",1)+IF($M$113="x",1)+IF($M$120="x",2)+IF($M$119="x",2)+IF($M$105="x",1)+IF($M$110="x",1)+IF($M$111="x",2)+IF($M$112="x",4)+IF($M$108="x",1)-IF($M$109="x",1)-IF($M$99="x",1)+IF($M$90="x",1)-IF($C$97="x",2,8)-5,
IF(AND($C$90="x",$C$118="x"),SUM($C$3,$I$2)-$C$120+IF($C$75="x",2)+$I$16-$B$10+$M$94+IF($C$77="x",2)-IF($C$78="x",4)-IF($I$78="x",1)-IF($C$79="x",4)+IF($C$80="x",1)-IF($I$77="x",2)-IF($I$90="x",2)+IF($I$83="x",2)-IF($C$83="x",4)-$C$112+IF(H567="x",1)+I567+$M$77+IF(H569="x",1)+IF(J569="x",1)+IF($M$76="x",2)+J567+IF($M$85="x",1)+IF($M$113="x",1)+IF($M$120="x",2)+IF($M$119="x",2)+IF($M$105="x",1)+IF($M$110="x",1)+IF($M$111="x",2)+IF($M$112="x",4)+IF($M$108="x",1)-IF($M$109="x",1)+IF($M$99="x",20)-IF($M$99="x",1)+IF($M$90="x",1)-IF($C$97="x",2,8)
&amp;"/"&amp;SUM($C$3,$I$2)-$C$120+IF($C$75="x",2)+$I$16-$B$10+$M$94+IF($C$77="x",2)-IF($C$78="x",4)-IF($I$78="x",1)-IF($C$79="x",4)+IF($C$80="x",1)-IF($I$77="x",2)-IF($I$90="x",2)+IF($I$83="x",2)-IF($C$83="x",4)-$C$112-5+IF(H567="x",1)+I567+$M$77+IF(H569="x",1)+IF(J569="x",1)+IF($M$76="x",2)+J567+IF($M$85="x",1)+IF($M$113="x",1)+IF($M$120="x",2)+IF($M$119="x",2)+IF($M$105="x",1)+IF($M$110="x",1)+IF($M$111="x",2)+IF($M$112="x",4)+IF($M$108="x",1)-IF($M$109="x",1)-IF($M$99="x",1)+IF($M$90="x",1)-IF($C$97="x",4,10)
&amp;"/"&amp;SUM($C$3,$I$2)-$C$120+IF($C$75="x",2)+$I$16-$B$10+$M$94+IF($C$77="x",2)-IF($C$78="x",4)-IF($I$78="x",1)-IF($C$79="x",4)+IF($C$80="x",1)-IF($I$77="x",2)-IF($I$90="x",2)+IF($I$83="x",2)-IF($C$83="x",4)-$C$112-10+IF(H567="x",1)+I567+$M$77+IF(H569="x",1)+IF(J569="x",1)+IF($M$76="x",2)+J567+IF($M$85="x",1)+IF($M$113="x",1)+IF($M$120="x",2)+IF($M$119="x",2)+IF($M$105="x",1)+IF($M$110="x",1)+IF($M$111="x",2)+IF($M$112="x",4)+IF($M$108="x",1)-IF($M$109="x",1)-IF($M$99="x",1)+IF($M$90="x",1)-IF($C$97="x",2,8)))))</f>
        <v>-8</v>
      </c>
      <c r="C569" s="54" t="str">
        <f>_xlfn.IFS($C$7="Minimaalinen","1n2",$C$7="Taskukokoinen","1n3",$C$7="Hyvin pieni","1n4",$C$7="Pieni","1n6",$C$7="Keskikokoinen","1n8",$C$7="Iso","2n6",$C$7="Valtava","3n6",$C$7="Suunnaton","4n6",$C$7="Giganttinen","6n6")</f>
        <v>1n8</v>
      </c>
      <c r="D569" s="123">
        <f>INT($I$2/2)+($C$120)+I567+$M$77+IF(I569="x",2)+IF(K569="x",2)+IF($M$119="x",2)+IF($M$108="x",1)+$M$94-IF($M$109="x",1)+K567</f>
        <v>0</v>
      </c>
      <c r="E569" s="54" t="str">
        <f>_xlfn.IFS($C$7="Minimaalinen","2n2",$C$7="Taskukokoinen","2n3",$C$7="Hyvin pieni","2n4",$C$7="Pieni","2n6",$C$7="Keskikokoinen","2n8",$C$7="Iso","4n6",$C$7="Valtava","6n6",$C$7="Suunnaton","8n6",$C$7="Giganttinen","12n6")</f>
        <v>2n8</v>
      </c>
      <c r="F569" s="124">
        <f>SUM(D569*2)</f>
        <v>0</v>
      </c>
      <c r="G569" s="124" t="str">
        <f>(IF($I$89="x","50 %","")&amp;(IF($C$81="x","20 %",""))&amp;(IF($C$82="x","50 %",""&amp;IF($M$91="x","50 % (5 j 20 %)",""&amp;IF($M$115="x","50 % (5 j 20 %)",""&amp;IF($M$120="x","20 %",""))))))</f>
        <v/>
      </c>
      <c r="H569" s="28"/>
      <c r="I569" s="28"/>
      <c r="J569" s="28"/>
      <c r="K569" s="28"/>
    </row>
    <row r="570" spans="1:38" x14ac:dyDescent="0.2">
      <c r="B570" s="15"/>
      <c r="C570" s="15"/>
      <c r="D570" s="15"/>
      <c r="F570" s="15"/>
      <c r="G570" s="15"/>
      <c r="H570" s="15"/>
      <c r="I570" s="15"/>
      <c r="AB570" s="115"/>
      <c r="AC570" s="116"/>
      <c r="AD570" s="116"/>
      <c r="AE570" s="116"/>
      <c r="AF570" s="116"/>
      <c r="AG570" s="116"/>
      <c r="AH570" s="116"/>
      <c r="AI570" s="48"/>
      <c r="AJ570" s="48"/>
      <c r="AK570" s="48"/>
      <c r="AL570" s="48"/>
    </row>
    <row r="571" spans="1:38" x14ac:dyDescent="0.2">
      <c r="B571" s="15"/>
      <c r="C571" s="15"/>
      <c r="D571" s="15"/>
      <c r="F571" s="15"/>
      <c r="G571" s="15"/>
      <c r="H571" s="15"/>
      <c r="I571" s="15"/>
      <c r="AB571" s="47"/>
      <c r="AC571" s="113"/>
      <c r="AD571" s="114"/>
      <c r="AE571" s="113"/>
      <c r="AF571" s="114"/>
      <c r="AG571" s="114"/>
      <c r="AH571" s="114"/>
      <c r="AI571" s="40"/>
      <c r="AJ571" s="40"/>
      <c r="AK571" s="40"/>
      <c r="AL571" s="40"/>
    </row>
    <row r="572" spans="1:38" x14ac:dyDescent="0.2">
      <c r="A572" s="34" t="s">
        <v>253</v>
      </c>
      <c r="B572" s="11" t="s">
        <v>1</v>
      </c>
      <c r="C572" s="11" t="s">
        <v>2</v>
      </c>
      <c r="D572" s="11" t="s">
        <v>3</v>
      </c>
      <c r="E572" s="11" t="s">
        <v>229</v>
      </c>
      <c r="F572" s="11" t="s">
        <v>3</v>
      </c>
      <c r="G572" s="11" t="s">
        <v>45</v>
      </c>
      <c r="H572" s="14" t="s">
        <v>179</v>
      </c>
      <c r="I572" s="130" t="s">
        <v>242</v>
      </c>
      <c r="J572" s="130" t="s">
        <v>224</v>
      </c>
      <c r="K572" s="130" t="s">
        <v>225</v>
      </c>
      <c r="AB572" s="146"/>
      <c r="AC572" s="57"/>
      <c r="AD572" s="57"/>
      <c r="AE572" s="57"/>
      <c r="AF572" s="57"/>
      <c r="AG572" s="57"/>
      <c r="AH572" s="57"/>
      <c r="AI572" s="48"/>
      <c r="AJ572" s="48"/>
      <c r="AK572" s="48"/>
      <c r="AL572" s="48"/>
    </row>
    <row r="573" spans="1:38" x14ac:dyDescent="0.2">
      <c r="A573" s="58" t="s">
        <v>8</v>
      </c>
      <c r="B573" s="119">
        <f>IF($I$85="x","PAINISSA",IF($C$3&lt;=5,SUM($C$3,$I$2)-$C$120+IF($C$75="x",2)+$I$16-$B$10+$M$94+IF($C$77="x",2)-IF($C$78="x",4)-IF($I$78="x",1)-IF($C$79="x",4)+IF($C$80="x",1)-IF($I$77="x",2)-IF($I$90="x",2)+IF($I$83="x",2)-IF($C$75="x",4)-$C$112+IF(H573="x",1)+I573+$M$77+IF(H575="x",1)+IF(J575="x",1)+IF($M$76="x",2)+J573+IF($M$85="x",1)+IF($M$113="x",1)+IF($M$120="x",2)+IF($M$119="x",2)+IF($M$105="x",1)+IF($M$110="x",1)+IF($M$111="x",2)+IF($M$112="x",4)+IF($M$108="x",1)-IF($M$109="x",1)-IF($M$99="x",1)+IF($M$90="x",1),
IF(AND($C$3&gt;5,$C$3&lt;11),SUM($C$3,$I$2)-$C$120+IF($C$75="x",2)+$I$16-$B$10+$M$94+IF($C$77="x",2)-IF($C$78="x",4)-IF($I$78="x",1)-IF($C$79="x",4)+IF($C$80="x",1)-IF($I$77="x",2)-IF($I$90="x",2)+IF($I$83="x",2)-IF($C$83="x",4)-$C$112+IF(H573="x",1)+I573+$M$77+IF(H575="x",1)+IF(J575="x",1)+IF($M$76="x",2)+J573+IF($M$85="x",1)+IF($M$113="x",1)+IF($M$120="x",2)+IF($M$119="x",2)+IF($M$105="x",1)+IF($M$110="x",1)+IF($M$111="x",2)+IF($M$112="x",4)+IF($M$108="x",1)-IF($M$109="x",1)-IF($M$99="x",1)+IF($M$90="x",1)
&amp;"/"&amp;SUM($C$3,$I$2)-$C$120+IF($C$75="x",2)+$I$16-$B$10+$M$94+IF($C$77="x",2)-IF($C$78="x",4)-IF($I$78="x",1)-IF($C$79="x",4)+IF($C$80="x",1)-IF($I$77="x",2)-IF($I$90="x",2)+IF($I$83="x",2)-IF($C$83="x",4)-$C$112-5+IF(H573="x",1)+I573+$M$77+IF(H575="x",1)+IF(J575="x",1)+IF($M$76="x",2)+J573+IF($M$85="x",1)+IF($M$113="x",1)+IF($M$120="x",2)+IF($M$119="x",2)+IF($M$105="x",1)+IF($M$110="x",1)+IF($M$111="x",2)+IF($M$112="x",4)+IF($M$108="x",1)-IF($M$109="x",1)-IF($M$99="x",1)+IF($M$90="x",1),
IF(AND($C$3&gt;10,$C$3&lt;16),SUM($C$3,$I$2)-$C$120+IF($C$75="x",2)+$I$16-$B$10+$M$94+IF($C$77="x",2)-IF($C$78="x",4)-IF($I$78="x",1)-IF($C$79="x",4)+IF($C$80="x",1)-IF($I$77="x",2)-IF($I$90="x",2)+IF($I$83="x",2)-IF($C$83="x",4)-$C$112+I567+$M$77+IF(J569="x",1)+IF($M$76="x",2)+J567+IF($M$85="x",1)+IF($M$113="x",1)+IF($M$120="x",2)+IF($M$119="x",2)+IF($M$105="x",1)+IF($M$110="x",1)+IF($M$111="x",2)+IF($M$112="x",4)+IF($M$108="x",1)-IF($M$109="x",1)+IF($M$99="x",20)-IF($M$99="x",1)+IF($M$90="x",1)
&amp;"/"&amp;SUM($C$3,$I$2)-$C$120+IF($C$75="x",2)+$I$16-$B$10+$M$94+IF($C$77="x",2)-IF($C$78="x",4)-IF($I$78="x",1)-IF($C$79="x",4)+IF($C$80="x",1)-IF($I$77="x",2)-IF($I$90="x",2)+IF($I$83="x",2)-IF($C$83="x",4)-$C$112-5+IF(H573="x",1)+I573+$M$77+IF(H575="x",1)+IF(J575="x",1)+IF($M$76="x",2)+J573+IF($M$85="x",1)+IF($M$113="x",1)+IF($M$120="x",2)+IF($M$119="x",2)+IF($M$105="x",1)+IF($M$110="x",1)+IF($M$111="x",2)+IF($M$112="x",4)+IF($M$108="x",1)-IF($M$109="x",1)-IF($M$99="x",1)+IF($M$90="x",1)
&amp;"/"&amp;SUM($C$3,$I$2)-$C$120+IF($C$75="x",2)+$I$16-$B$10+$M$94+IF($C$77="x",2)-IF($C$78="x",4)-IF($I$78="x",1)-IF($C$79="x",4)+IF($C$80="x",1)-IF($I$77="x",2)-IF($I$90="x",2)+IF($I$83="x",2)-IF($C$83="x",4)-$C$112-10+IF(H573="x",1)+I573+$M$77+IF(H575="x",1)+IF(J575="x",1)+IF($M$76="x",2)+J573+IF($M$85="x",1)+IF($M$113="x",1)+IF($M$120="x",2)+IF($M$119="x",2)+IF($M$105="x",1)+IF($M$110="x",1)+IF($M$111="x",2)+IF($M$112="x",4)+IF($M$108="x",1)-IF($M$109="x",1)-IF($M$99="x",1)+IF($M$90="x",1),
IF(AND($C$3&gt;15),SUM($C$3,$I$2)-$C$120+IF($C$75="x",2)+$I$16-$B$10+$M$94+IF($C$77="x",2)-IF($C$78="x",4)-IF($I$78="x",1)-IF($C$79="x",4)+IF($C$80="x",1)-IF($I$77="x",2)-IF($I$90="x",2)+IF($I$83="x",2)-IF($C$83="x",4)-$C$112+IF(H573="x",1)+I573+$M$77+IF(H575="x",1)+IF(J575="x",1)+IF($M$76="x",2)+J573+IF($M$85="x",1)+IF($M$113="x",1)+IF($M$120="x",2)+IF($M$119="x",2)+IF($M$105="x",1)+IF($M$110="x",1)+IF($M$111="x",2)+IF($M$112="x",4)+IF($M$108="x",1)-IF($M$109="x",1)-IF($M$99="x",1)+IF($M$90="x",1)
&amp;"/"&amp;SUM($C$3,$I$2)-$C$120+IF($C$75="x",2)+$I$16-$B$10+$M$94+IF($C$77="x",2)-IF($C$78="x",4)-IF($I$78="x",1)-IF($C$79="x",4)+IF($C$80="x",1)-IF($I$77="x",2)-IF($I$90="x",2)+IF($I$83="x",2)-IF($C$83="x",4)-$C$112-5+IF(H573="x",1)+I573+$M$77+IF(H575="x",1)+IF(J575="x",1)+IF($M$76="x",2)+J573
+IF($M$85="x",1)+IF($M$113="x",1)+IF($M$120="x",2)+IF($M$119="x",2)+IF($M$105="x",1)+IF($M$110="x",1)+IF($M$111="x",2)+IF($M$112="x",4)+IF($M$108="x",1)-IF($M$109="x",1)-IF($M$99="x",1)+IF($M$90="x",1)
&amp;"/"&amp;SUM($C$3,$I$2)-$C$120+IF($C$75="x",2)+$I$16-$B$10+$M$94+IF($C$77="x",2)-IF($C$78="x",4)-IF($I$78="x",1)-IF($C$79="x",4)+IF($C$80="x",1)-IF($I$77="x",2)-IF($I$90="x",2)+IF($I$83="x",2)-IF($C$83="x",4)-$C$112-10+IF(H573="x",1)+I573+$M$77+IF(H575="x",1)+IF(J575="x",1)+IF($M$76="x",2)+J573+IF($M$85="x",1)+IF($M$113="x",1)+IF($M$120="x",2)+IF($M$119="x",2)+IF($M$105="x",1)+IF($M$110="x",1)+IF($M$111="x",2)+IF($M$112="x",4)+IF($M$108="x",1)-IF($M$109="x",1)-IF($M$99="x",1)+IF($M$90="x",1)
&amp;"/"&amp;SUM($C$3,$I$2)-$C$120+IF($C$75="x",2)+$I$16-$B$10+$M$94+IF($C$77="x",2)-IF($C$78="x",4)-IF($I$78="x",1)-IF($C$79="x",4)+IF($C$80="x",1)-IF($I$77="x",2)-IF($I$90="x",2)+IF($I$83="x",2)-IF($C$83="x",4)-$C$112-15+IF(H573="x",1)+I573+$M$77+IF(H575="x",1)+IF(J575="x",1)+IF($M$76="x",2)+J573+IF($M$85="x",1)+IF($M$113="x",1)+IF($M$120="x",2)+IF($M$119="x",2)+IF($M$105="x",1)+IF($M$110="x",1)+IF($M$111="x",2)+IF($M$112="x",4)+IF($M$108="x",1)-IF($M$109="x",1)-IF($M$99="x",1)+IF($M$90="x",1))))))</f>
        <v>0</v>
      </c>
      <c r="C573" s="114" t="str">
        <f>_xlfn.IFS($C$7="Minimaalinen","1n2",$C$7="Taskukokoinen","1n3",$C$7="Hyvin pieni","1n4",$C$7="Pieni","1n6",$C$7="Keskikokoinen","1n8",$C$7="Iso","2n6",$C$7="Valtava","3n6",$C$7="Suunnaton","4n6",$C$7="Giganttinen","6n6")</f>
        <v>1n8</v>
      </c>
      <c r="D573" s="119">
        <f>IF($I$2&lt;0,$I$2,INT($I$2*1.5))+($C$120*2)+I573+$M$77+IF(I575="x",2)+IF(K575="x",2)+IF($M$119="x",2)+IF($M$108="x",1)+$M$94-IF($M$109="x",1)+K573</f>
        <v>0</v>
      </c>
      <c r="E573" s="114" t="str">
        <f>_xlfn.IFS($C$7="Minimaalinen","2n2",$C$7="Taskukokoinen","2n3",$C$7="Hyvin pieni","2n4",$C$7="Pieni","2n6",$C$7="Keskikokoinen","2n8",$C$7="Iso","4n6",$C$7="Valtava","6n6",$C$7="Suunnaton","8n6",$C$7="Giganttinen","12n6")</f>
        <v>2n8</v>
      </c>
      <c r="F573" s="120">
        <f>SUM(D573*2)</f>
        <v>0</v>
      </c>
      <c r="G573" s="120" t="str">
        <f>(IF($I$89="x","50 %","")&amp;(IF($C$81="x","20 %",""))&amp;(IF($C$82="x","50 %",""&amp;IF($M$91="x","50 % (5 j 20 %)",""&amp;IF($M$115="x","50 % (5 j 20 %)",""&amp;IF($M$120="x","20 %",""))))))</f>
        <v/>
      </c>
      <c r="H573" s="28"/>
      <c r="I573" s="17">
        <v>0</v>
      </c>
      <c r="J573" s="17">
        <v>0</v>
      </c>
      <c r="K573" s="17">
        <v>0</v>
      </c>
      <c r="AB573" s="57"/>
      <c r="AC573" s="57"/>
      <c r="AD573" s="57"/>
      <c r="AE573" s="57"/>
      <c r="AF573" s="57"/>
      <c r="AG573" s="57"/>
      <c r="AH573" s="57"/>
      <c r="AI573" s="40"/>
      <c r="AJ573" s="40"/>
      <c r="AK573" s="40"/>
      <c r="AL573" s="40"/>
    </row>
    <row r="574" spans="1:38" x14ac:dyDescent="0.2">
      <c r="A574" s="25" t="s">
        <v>327</v>
      </c>
      <c r="B574" s="121">
        <f>IF($I$85="x","PAINISSA",IF($C$3&lt;=5,SUM($C$3,$I$2)-$C$120+IF($C$75="x",2)+$I$16-$B$10+$M$94+IF($C$77="x",2)-IF($C$78="x",4)-IF($I$78="x",1)-IF($C$79="x",4)+IF($C$80="x",1)-IF($I$77="x",2)-IF($I$90="x",2)+IF($I$83="x",2)-IF($C$75="x",4)-$C$112+IF(H573="x",1)+I573+$M$77+IF(H575="x",1)+IF(J575="x",1)+IF($M$76="x",2)+J573+IF($M$85="x",1)+IF($M$113="x",1)+IF($M$120="x",2)+IF($M$119="x",2)+IF($M$105="x",1)+IF($M$110="x",1)+IF($M$111="x",2)+IF($M$112="x",4)+IF($M$108="x",1)-IF($M$109="x",1)-IF($M$99="x",1)+IF($M$90="x",1)-IF($C$97="x",2,4),
IF(AND($C$3&gt;5,$C$3&lt;11),SUM($C$3,$I$2)-$C$120+IF($C$75="x",2)+$I$16-$B$10+$M$94+IF($C$77="x",2)-IF($C$78="x",4)-IF($I$78="x",1)-IF($C$79="x",4)+IF($C$80="x",1)-IF($I$77="x",2)-IF($I$90="x",2)+IF($I$83="x",2)-IF($C$83="x",4)-$C$112+IF(H573="x",1)+I573+$M$77+IF(H575="x",1)+IF(J575="x",1)+IF($M$76="x",2)+J573+IF($M$85="x",1)+IF($M$113="x",1)+IF($M$120="x",2)+IF($M$119="x",2)+IF($M$105="x",1)+IF($M$110="x",1)+IF($M$111="x",2)+IF($M$112="x",4)+IF($M$108="x",1)-IF($M$109="x",1)-IF($M$99="x",1)+IF($M$90="x",1)-IF($C$97="x",2,4)
&amp;"/"&amp;SUM($C$3,$I$2)-$C$120+IF($C$75="x",2)+$I$16-$B$10+$M$94+IF($C$77="x",2)-IF($C$78="x",4)-IF($I$78="x",1)-IF($C$79="x",4)+IF($C$80="x",1)-IF($I$77="x",2)-IF($I$90="x",2)+IF($I$83="x",2)-IF($C$83="x",4)-$C$112-5+IF(H573="x",1)+I573+$M$77+IF(H575="x",1)+IF(J575="x",1)+IF($M$76="x",2)+J573+IF($M$85="x",1)+IF($M$113="x",1)+IF($M$120="x",2)+IF($M$119="x",2)+IF($M$105="x",1)+IF($M$110="x",1)+IF($M$111="x",2)+IF($M$112="x",4)+IF($M$108="x",1)-IF($M$109="x",1)-IF($M$99="x",1)+IF($M$90="x",1)-IF($C$97="x",2,4),
IF(AND($C$3&gt;10,$C$3&lt;16),SUM($C$3,$I$2)-$C$120+IF($C$75="x",2)+$I$16-$B$10+$M$94+IF($C$77="x",2)-IF($C$78="x",4)-IF($I$78="x",1)-IF($C$79="x",4)+IF($C$80="x",1)-IF($I$77="x",2)-IF($I$90="x",2)+IF($I$83="x",2)-IF($C$83="x",4)-$C$112+I567+$M$77+IF(J569="x",1)+IF($M$76="x",2)+J567+IF($M$85="x",1)+IF($M$113="x",1)+IF($M$120="x",2)+IF($M$119="x",2)+IF($M$105="x",1)+IF($M$110="x",1)+IF($M$111="x",2)+IF($M$112="x",4)+IF($M$108="x",1)-IF($M$109="x",1)+IF($M$99="x",20)-IF($M$99="x",1)+IF($M$90="x",1)-IF($C$97="x",2,4)
&amp;"/"&amp;SUM($C$3,$I$2)-$C$120+IF($C$75="x",2)+$I$16-$B$10+$M$94+IF($C$77="x",2)-IF($C$78="x",4)-IF($I$78="x",1)-IF($C$79="x",4)+IF($C$80="x",1)-IF($I$77="x",2)-IF($I$90="x",2)+IF($I$83="x",2)-IF($C$83="x",4)-$C$112-5+IF(H573="x",1)+I573+$M$77+IF(H575="x",1)+IF(J575="x",1)+IF($M$76="x",2)+J573+IF($M$85="x",1)+IF($M$113="x",1)+IF($M$120="x",2)+IF($M$119="x",2)+IF($M$105="x",1)+IF($M$110="x",1)+IF($M$111="x",2)+IF($M$112="x",4)+IF($M$108="x",1)-IF($M$109="x",1)-IF($M$99="x",1)+IF($M$90="x",1)-IF($C$97="x",2,4)
&amp;"/"&amp;SUM($C$3,$I$2)-$C$120+IF($C$75="x",2)+$I$16-$B$10+$M$94+IF($C$77="x",2)-IF($C$78="x",4)-IF($I$78="x",1)-IF($C$79="x",4)+IF($C$80="x",1)-IF($I$77="x",2)-IF($I$90="x",2)+IF($I$83="x",2)-IF($C$83="x",4)-$C$112-10+IF(H573="x",1)+I573+$M$77+IF(H575="x",1)+IF(J575="x",1)+IF($M$76="x",2)+J573+IF($M$85="x",1)+IF($M$113="x",1)+IF($M$120="x",2)+IF($M$119="x",2)+IF($M$105="x",1)+IF($M$110="x",1)+IF($M$111="x",2)+IF($M$112="x",4)+IF($M$108="x",1)-IF($M$109="x",1)-IF($M$99="x",1)+IF($M$90="x",1)-IF($C$97="x",2,4),
IF(AND($C$3&gt;15),SUM($C$3,$I$2)-$C$120+IF($C$75="x",2)+$I$16-$B$10+$M$94+IF($C$77="x",2)-IF($C$78="x",4)-IF($I$78="x",1)-IF($C$79="x",4)+IF($C$80="x",1)-IF($I$77="x",2)-IF($I$90="x",2)+IF($I$83="x",2)-IF($C$83="x",4)-$C$112+IF(H573="x",1)+I573+$M$77+IF(H575="x",1)+IF(J575="x",1)+IF($M$76="x",2)+J573+IF($M$85="x",1)+IF($M$113="x",1)+IF($M$120="x",2)+IF($M$119="x",2)+IF($M$105="x",1)+IF($M$110="x",1)+IF($M$111="x",2)+IF($M$112="x",4)+IF($M$108="x",1)-IF($M$109="x",1)-IF($M$99="x",1)+IF($M$90="x",1)-IF($C$97="x",2,4)
&amp;"/"&amp;SUM($C$3,$I$2)-$C$120+IF($C$75="x",2)+$I$16-$B$10+$M$94+IF($C$77="x",2)-IF($C$78="x",4)-IF($I$78="x",1)-IF($C$79="x",4)+IF($C$80="x",1)-IF($I$77="x",2)-IF($I$90="x",2)+IF($I$83="x",2)-IF($C$83="x",4)-$C$112-5+IF(H573="x",1)+I573+$M$77+IF(H575="x",1)+IF(J575="x",1)+IF($M$76="x",2)+J573
+IF($M$85="x",1)+IF($M$113="x",1)+IF($M$120="x",2)+IF($M$119="x",2)+IF($M$105="x",1)+IF($M$110="x",1)+IF($M$111="x",2)+IF($M$112="x",4)+IF($M$108="x",1)-IF($M$109="x",1)-IF($M$99="x",1)+IF($M$90="x",1)-IF($C$97="x",2,4)
&amp;"/"&amp;SUM($C$3,$I$2)-$C$120+IF($C$75="x",2)+$I$16-$B$10+$M$94+IF($C$77="x",2)-IF($C$78="x",4)-IF($I$78="x",1)-IF($C$79="x",4)+IF($C$80="x",1)-IF($I$77="x",2)-IF($I$90="x",2)+IF($I$83="x",2)-IF($C$83="x",4)-$C$112-10+IF(H573="x",1)+I573+$M$77+IF(H575="x",1)+IF(J575="x",1)+IF($M$76="x",2)+J573+IF($M$85="x",1)+IF($M$113="x",1)+IF($M$120="x",2)+IF($M$119="x",2)+IF($M$105="x",1)+IF($M$110="x",1)+IF($M$111="x",2)+IF($M$112="x",4)+IF($M$108="x",1)-IF($M$109="x",1)-IF($M$99="x",1)+IF($M$90="x",1)-IF($C$97="x",2,4)
&amp;"/"&amp;SUM($C$3,$I$2)-$C$120+IF($C$75="x",2)+$I$16-$B$10+$M$94+IF($C$77="x",2)-IF($C$78="x",4)-IF($I$78="x",1)-IF($C$79="x",4)+IF($C$80="x",1)-IF($I$77="x",2)-IF($I$90="x",2)+IF($I$83="x",2)-IF($C$83="x",4)-$C$112-15+IF(H573="x",1)+I573+$M$77+IF(H575="x",1)+IF(J575="x",1)+IF($M$76="x",2)+J573+IF($M$85="x",1)+IF($M$113="x",1)+IF($M$120="x",2)+IF($M$119="x",2)+IF($M$105="x",1)+IF($M$110="x",1)+IF($M$111="x",2)+IF($M$112="x",4)+IF($M$108="x",1)-IF($M$109="x",1)-IF($M$99="x",1)+IF($M$90="x",1)-IF($C$97="x",2,4))))))</f>
        <v>-4</v>
      </c>
      <c r="C574" s="49" t="str">
        <f>_xlfn.IFS($C$7="Minimaalinen","1n2",$C$7="Taskukokoinen","1n3",$C$7="Hyvin pieni","1n4",$C$7="Pieni","1n6",$C$7="Keskikokoinen","1n8",$C$7="Iso","2n6",$C$7="Valtava","3n6",$C$7="Suunnaton","4n6",$C$7="Giganttinen","6n6")</f>
        <v>1n8</v>
      </c>
      <c r="D574" s="121">
        <f>SUM($I$2+$C$120)+I573+$M$77+IF(I575="x",2)+IF(K575="x",2)+IF($M$119="x",2)+IF($M$108="x",1)+$M$94-IF($M$109="x",1)+K573</f>
        <v>0</v>
      </c>
      <c r="E574" s="49" t="str">
        <f>_xlfn.IFS($C$7="Minimaalinen","2n2",$C$7="Taskukokoinen","2n3",$C$7="Hyvin pieni","2n4",$C$7="Pieni","2n6",$C$7="Keskikokoinen","2n8",$C$7="Iso","4n6",$C$7="Valtava","6n6",$C$7="Suunnaton","8n6",$C$7="Giganttinen","12n6")</f>
        <v>2n8</v>
      </c>
      <c r="F574" s="82">
        <f>SUM(D574*2)</f>
        <v>0</v>
      </c>
      <c r="G574" s="82" t="str">
        <f>(IF($I$89="x","50 %","")&amp;(IF($C$81="x","20 %",""))&amp;(IF($C$82="x","50 %",""&amp;IF($M$91="x","50 % (5 j 20 %)",""&amp;IF($M$115="x","50 % (5 j 20 %)",""&amp;IF($M$120="x","20 %",""))))))</f>
        <v/>
      </c>
      <c r="H574" s="14" t="s">
        <v>220</v>
      </c>
      <c r="I574" s="14" t="s">
        <v>221</v>
      </c>
      <c r="J574" s="14" t="s">
        <v>222</v>
      </c>
      <c r="K574" s="14" t="s">
        <v>223</v>
      </c>
    </row>
    <row r="575" spans="1:38" x14ac:dyDescent="0.2">
      <c r="A575" s="122" t="s">
        <v>330</v>
      </c>
      <c r="B575" s="123">
        <f>IF($I$85="x","PAINISSA",IF(AND($C$90="",$C$118=""),SUM($C$3,$I$2)-$C$120+IF($C$75="x",2)+$I$16-$B$10+$M$94+IF($C$77="x",2)-IF($C$78="x",4)-IF($I$78="x",1)-IF($C$79="x",4)+IF($C$80="x",1)-IF($I$77="x",2)-IF($I$90="x",2)+IF($I$83="x",2)-IF($C$75="x",4)-$C$112+IF(H573="x",1)+I573+$M$77+IF(H575="x",1)+IF(J575="x",1)+IF($M$76="x",2)+J573+IF($M$85="x",1)+IF($M$113="x",1)+IF($M$120="x",2)+IF($M$119="x",2)+IF($M$105="x",1)+IF($M$110="x",1)+IF($M$111="x",2)+IF($M$112="x",4)+IF($M$108="x",1)-IF($M$109="x",1)-IF($M$99="x",1)+IF($M$90="x",1)-IF($C$97="x",2,8),
IF(AND($C$90="x",$C$118=""),SUM($C$3,$I$2)-$C$120+IF($C$75="x",2)+$I$16-$B$10+$M$94+IF($C$77="x",2)-IF($C$78="x",4)-IF($I$78="x",1)-IF($C$79="x",4)+IF($C$80="x",1)-IF($I$77="x",2)-IF($I$90="x",2)+IF($I$83="x",2)-IF($C$83="x",4)-$C$112+IF(H573="x",1)+I573+$M$77+IF(H575="x",1)+IF(J575="x",1)+IF($M$76="x",2)+J573+IF($M$85="x",1)+IF($M$113="x",1)+IF($M$120="x",2)+IF($M$119="x",2)+IF($M$105="x",1)+IF($M$110="x",1)+IF($M$111="x",2)+IF($M$112="x",4)+IF($M$108="x",1)-IF($M$109="x",1)-IF($M$99="x",1)+IF($M$90="x",1)-IF($C$97="x",2,8)
&amp;"/"&amp;SUM($C$3,$I$2)-$C$120+IF($C$75="x",2)+$I$16-$B$10+$M$94+IF($C$77="x",2)-IF($C$78="x",4)-IF($I$78="x",1)-IF($C$79="x",4)+IF($C$80="x",1)-IF($I$77="x",2)-IF($I$90="x",2)+IF($I$83="x",2)-IF($C$83="x",4)-$C$112+IF(H573="x",1)+I573+$M$77+IF(H575="x",1)+IF(J575="x",1)+IF($M$76="x",2)+J573+IF($M$85="x",1)+IF($M$113="x",1)+IF($M$120="x",2)+IF($M$119="x",2)+IF($M$105="x",1)+IF($M$110="x",1)+IF($M$111="x",2)+IF($M$112="x",4)+IF($M$108="x",1)-IF($M$109="x",1)-IF($M$99="x",1)+IF($M$90="x",1)-IF($C$97="x",2,8)-5,
IF(AND($C$90="x",$C$118="x"),SUM($C$3,$I$2)-$C$120+IF($C$75="x",2)+$I$16-$B$10+$M$94+IF($C$77="x",2)-IF($C$78="x",4)-IF($I$78="x",1)-IF($C$79="x",4)+IF($C$80="x",1)-IF($I$77="x",2)-IF($I$90="x",2)+IF($I$83="x",2)-IF($C$83="x",4)-$C$112+IF(H573="x",1)+I573+$M$77+IF(H575="x",1)+IF(J575="x",1)+IF($M$76="x",2)+J573+IF($M$85="x",1)+IF($M$113="x",1)+IF($M$120="x",2)+IF($M$119="x",2)+IF($M$105="x",1)+IF($M$110="x",1)+IF($M$111="x",2)+IF($M$112="x",4)+IF($M$108="x",1)-IF($M$109="x",1)+IF($M$99="x",20)-IF($M$99="x",1)+IF($M$90="x",1)-IF($C$97="x",2,8)
&amp;"/"&amp;SUM($C$3,$I$2)-$C$120+IF($C$75="x",2)+$I$16-$B$10+$M$94+IF($C$77="x",2)-IF($C$78="x",4)-IF($I$78="x",1)-IF($C$79="x",4)+IF($C$80="x",1)-IF($I$77="x",2)-IF($I$90="x",2)+IF($I$83="x",2)-IF($C$83="x",4)-$C$112-5+IF(H573="x",1)+I573+$M$77+IF(H575="x",1)+IF(J575="x",1)+IF($M$76="x",2)+J573+IF($M$85="x",1)+IF($M$113="x",1)+IF($M$120="x",2)+IF($M$119="x",2)+IF($M$105="x",1)+IF($M$110="x",1)+IF($M$111="x",2)+IF($M$112="x",4)+IF($M$108="x",1)-IF($M$109="x",1)-IF($M$99="x",1)+IF($M$90="x",1)-IF($C$97="x",4,10)
&amp;"/"&amp;SUM($C$3,$I$2)-$C$120+IF($C$75="x",2)+$I$16-$B$10+$M$94+IF($C$77="x",2)-IF($C$78="x",4)-IF($I$78="x",1)-IF($C$79="x",4)+IF($C$80="x",1)-IF($I$77="x",2)-IF($I$90="x",2)+IF($I$83="x",2)-IF($C$83="x",4)-$C$112-10+IF(H573="x",1)+I573+$M$77+IF(H575="x",1)+IF(J575="x",1)+IF($M$76="x",2)+J573+IF($M$85="x",1)+IF($M$113="x",1)+IF($M$120="x",2)+IF($M$119="x",2)+IF($M$105="x",1)+IF($M$110="x",1)+IF($M$111="x",2)+IF($M$112="x",4)+IF($M$108="x",1)-IF($M$109="x",1)-IF($M$99="x",1)+IF($M$90="x",1)-IF($C$97="x",2,8)))))</f>
        <v>-8</v>
      </c>
      <c r="C575" s="54" t="str">
        <f>_xlfn.IFS($C$7="Minimaalinen","1n2",$C$7="Taskukokoinen","1n3",$C$7="Hyvin pieni","1n4",$C$7="Pieni","1n6",$C$7="Keskikokoinen","1n8",$C$7="Iso","2n6",$C$7="Valtava","3n6",$C$7="Suunnaton","4n6",$C$7="Giganttinen","6n6")</f>
        <v>1n8</v>
      </c>
      <c r="D575" s="123">
        <f>INT($I$2/2)+($C$120)+I573+$M$77+IF(I575="x",2)+IF(K575="x",2)+IF($M$119="x",2)+IF($M$108="x",1)+$M$94-IF($M$109="x",1)+K573</f>
        <v>0</v>
      </c>
      <c r="E575" s="54" t="str">
        <f>_xlfn.IFS($C$7="Minimaalinen","2n2",$C$7="Taskukokoinen","2n3",$C$7="Hyvin pieni","2n4",$C$7="Pieni","2n6",$C$7="Keskikokoinen","2n8",$C$7="Iso","4n6",$C$7="Valtava","6n6",$C$7="Suunnaton","8n6",$C$7="Giganttinen","12n6")</f>
        <v>2n8</v>
      </c>
      <c r="F575" s="124">
        <f>SUM(D575*2)</f>
        <v>0</v>
      </c>
      <c r="G575" s="124" t="str">
        <f>(IF($I$89="x","50 %","")&amp;(IF($C$81="x","20 %",""))&amp;(IF($C$82="x","50 %",""&amp;IF($M$91="x","50 % (5 j 20 %)",""&amp;IF($M$115="x","50 % (5 j 20 %)",""&amp;IF($M$120="x","20 %",""))))))</f>
        <v/>
      </c>
      <c r="H575" s="28"/>
      <c r="I575" s="28"/>
      <c r="J575" s="28"/>
      <c r="K575" s="28"/>
    </row>
    <row r="576" spans="1:38" x14ac:dyDescent="0.2">
      <c r="B576" s="15"/>
      <c r="C576" s="15"/>
      <c r="D576" s="15"/>
      <c r="F576" s="15"/>
      <c r="G576" s="15"/>
      <c r="H576" s="15"/>
      <c r="I576" s="15"/>
      <c r="AB576" s="46"/>
      <c r="AC576" s="48"/>
      <c r="AD576" s="48"/>
      <c r="AE576" s="48"/>
      <c r="AF576" s="48"/>
      <c r="AG576" s="48"/>
      <c r="AH576" s="48"/>
      <c r="AI576" s="48"/>
      <c r="AJ576" s="48"/>
      <c r="AK576" s="48"/>
      <c r="AL576" s="48"/>
    </row>
    <row r="577" spans="1:38" x14ac:dyDescent="0.2">
      <c r="B577" s="15"/>
      <c r="C577" s="15"/>
      <c r="D577" s="15"/>
      <c r="F577" s="15"/>
      <c r="G577" s="15"/>
      <c r="H577" s="15"/>
      <c r="I577" s="15"/>
      <c r="AC577" s="40"/>
      <c r="AD577" s="40"/>
      <c r="AE577" s="41"/>
      <c r="AF577" s="40"/>
      <c r="AG577" s="40"/>
      <c r="AH577" s="40"/>
      <c r="AI577" s="40"/>
      <c r="AJ577" s="40"/>
      <c r="AK577" s="40"/>
      <c r="AL577" s="40"/>
    </row>
    <row r="578" spans="1:38" x14ac:dyDescent="0.2">
      <c r="A578" s="34" t="s">
        <v>235</v>
      </c>
      <c r="B578" s="11" t="s">
        <v>1</v>
      </c>
      <c r="C578" s="11" t="s">
        <v>2</v>
      </c>
      <c r="D578" s="11" t="s">
        <v>3</v>
      </c>
      <c r="E578" s="11" t="s">
        <v>229</v>
      </c>
      <c r="F578" s="11" t="s">
        <v>3</v>
      </c>
      <c r="G578" s="11" t="s">
        <v>45</v>
      </c>
      <c r="H578" s="14" t="s">
        <v>179</v>
      </c>
      <c r="I578" s="130" t="s">
        <v>242</v>
      </c>
      <c r="J578" s="130" t="s">
        <v>224</v>
      </c>
      <c r="K578" s="130" t="s">
        <v>225</v>
      </c>
      <c r="AB578" s="47"/>
      <c r="AC578" s="113"/>
      <c r="AD578" s="114"/>
      <c r="AE578" s="113"/>
      <c r="AF578" s="114"/>
      <c r="AG578" s="114"/>
      <c r="AH578" s="114"/>
      <c r="AI578" s="48"/>
      <c r="AJ578" s="48"/>
      <c r="AK578" s="48"/>
      <c r="AL578" s="48"/>
    </row>
    <row r="579" spans="1:38" x14ac:dyDescent="0.2">
      <c r="A579" s="58" t="s">
        <v>254</v>
      </c>
      <c r="B579" s="119">
        <f>IF($I$85="x","PAINISSA",IF($C$3&lt;=5,SUM($C$3,$I$2)-$C$120+IF($C$75="x",2)+$I$16-$B$10+$M$94+IF($C$77="x",2)-IF($C$78="x",4)-IF($I$78="x",1)-IF($C$79="x",4)+IF($C$80="x",1)-IF($I$77="x",2)-IF($I$90="x",2)+IF($I$83="x",2)-IF($C$75="x",4)-$C$112+IF(H579="x",1)+I579+$M$77+IF(H581="x",1)+IF(J581="x",1)+IF($M$76="x",2)+J579+IF($M$85="x",1)+IF($M$113="x",1)+IF($M$120="x",2)+IF($M$119="x",2)+IF($M$105="x",1)+IF($M$110="x",1)+IF($M$111="x",2)+IF($M$112="x",4)+IF($M$108="x",1)-IF($M$109="x",1)-IF($M$99="x",1)+IF($M$90="x",1),
IF(AND($C$3&gt;5,$C$3&lt;11),SUM($C$3,$I$2)-$C$120+IF($C$75="x",2)+$I$16-$B$10+$M$94+IF($C$77="x",2)-IF($C$78="x",4)-IF($I$78="x",1)-IF($C$79="x",4)+IF($C$80="x",1)-IF($I$77="x",2)-IF($I$90="x",2)+IF($I$83="x",2)-IF($C$83="x",4)-$C$112+IF(H579="x",1)+I579+$M$77+IF(H581="x",1)+IF(J581="x",1)+IF($M$76="x",2)+J579+IF($M$85="x",1)+IF($M$113="x",1)+IF($M$120="x",2)+IF($M$119="x",2)+IF($M$105="x",1)+IF($M$110="x",1)+IF($M$111="x",2)+IF($M$112="x",4)+IF($M$108="x",1)-IF($M$109="x",1)-IF($M$99="x",1)+IF($M$90="x",1)
&amp;"/"&amp;SUM($C$3,$I$2)-$C$120+IF($C$75="x",2)+$I$16-$B$10+$M$94+IF($C$77="x",2)-IF($C$78="x",4)-IF($I$78="x",1)-IF($C$79="x",4)+IF($C$80="x",1)-IF($I$77="x",2)-IF($I$90="x",2)+IF($I$83="x",2)-IF($C$83="x",4)-$C$112-5+IF(H579="x",1)+I579+$M$77+IF(H581="x",1)+IF(J581="x",1)+IF($M$76="x",2)+J579+IF($M$85="x",1)+IF($M$113="x",1)+IF($M$120="x",2)+IF($M$119="x",2)+IF($M$105="x",1)+IF($M$110="x",1)+IF($M$111="x",2)+IF($M$112="x",4)+IF($M$108="x",1)-IF($M$109="x",1)-IF($M$99="x",1)+IF($M$90="x",1),
IF(AND($C$3&gt;10,$C$3&lt;16),SUM($C$3,$I$2)-$C$120+IF($C$75="x",2)+$I$16-$B$10+$M$94+IF($C$77="x",2)-IF($C$78="x",4)-IF($I$78="x",1)-IF($C$79="x",4)+IF($C$80="x",1)-IF($I$77="x",2)-IF($I$90="x",2)+IF($I$83="x",2)-IF($C$83="x",4)-$C$112+I567+$M$77+IF(J569="x",1)+IF($M$76="x",2)+J567+IF($M$85="x",1)+IF($M$113="x",1)+IF($M$120="x",2)+IF($M$119="x",2)+IF($M$105="x",1)+IF($M$110="x",1)+IF($M$111="x",2)+IF($M$112="x",4)+IF($M$108="x",1)-IF($M$109="x",1)+IF($M$99="x",20)-IF($M$99="x",1)+IF($M$90="x",1)
&amp;"/"&amp;SUM($C$3,$I$2)-$C$120+IF($C$75="x",2)+$I$16-$B$10+$M$94+IF($C$77="x",2)-IF($C$78="x",4)-IF($I$78="x",1)-IF($C$79="x",4)+IF($C$80="x",1)-IF($I$77="x",2)-IF($I$90="x",2)+IF($I$83="x",2)-IF($C$83="x",4)-$C$112-5+IF(H579="x",1)+I579+$M$77+IF(H581="x",1)+IF(J581="x",1)+IF($M$76="x",2)+J579+IF($M$85="x",1)+IF($M$113="x",1)+IF($M$120="x",2)+IF($M$119="x",2)+IF($M$105="x",1)+IF($M$110="x",1)+IF($M$111="x",2)+IF($M$112="x",4)+IF($M$108="x",1)-IF($M$109="x",1)-IF($M$99="x",1)+IF($M$90="x",1)
&amp;"/"&amp;SUM($C$3,$I$2)-$C$120+IF($C$75="x",2)+$I$16-$B$10+$M$94+IF($C$77="x",2)-IF($C$78="x",4)-IF($I$78="x",1)-IF($C$79="x",4)+IF($C$80="x",1)-IF($I$77="x",2)-IF($I$90="x",2)+IF($I$83="x",2)-IF($C$83="x",4)-$C$112-10+IF(H579="x",1)+I579+$M$77+IF(H581="x",1)+IF(J581="x",1)+IF($M$76="x",2)+J579+IF($M$85="x",1)+IF($M$113="x",1)+IF($M$120="x",2)+IF($M$119="x",2)+IF($M$105="x",1)+IF($M$110="x",1)+IF($M$111="x",2)+IF($M$112="x",4)+IF($M$108="x",1)-IF($M$109="x",1)-IF($M$99="x",1)+IF($M$90="x",1),
IF(AND($C$3&gt;15),SUM($C$3,$I$2)-$C$120+IF($C$75="x",2)+$I$16-$B$10+$M$94+IF($C$77="x",2)-IF($C$78="x",4)-IF($I$78="x",1)-IF($C$79="x",4)+IF($C$80="x",1)-IF($I$77="x",2)-IF($I$90="x",2)+IF($I$83="x",2)-IF($C$83="x",4)-$C$112+IF(H579="x",1)+I579+$M$77+IF(H581="x",1)+IF(J581="x",1)+IF($M$76="x",2)+J579+IF($M$85="x",1)+IF($M$113="x",1)+IF($M$120="x",2)+IF($M$119="x",2)+IF($M$105="x",1)+IF($M$110="x",1)+IF($M$111="x",2)+IF($M$112="x",4)+IF($M$108="x",1)-IF($M$109="x",1)-IF($M$99="x",1)+IF($M$90="x",1)
&amp;"/"&amp;SUM($C$3,$I$2)-$C$120+IF($C$75="x",2)+$I$16-$B$10+$M$94+IF($C$77="x",2)-IF($C$78="x",4)-IF($I$78="x",1)-IF($C$79="x",4)+IF($C$80="x",1)-IF($I$77="x",2)-IF($I$90="x",2)+IF($I$83="x",2)-IF($C$83="x",4)-$C$112-5+IF(H579="x",1)+I579+$M$77+IF(H581="x",1)+IF(J581="x",1)+IF($M$76="x",2)+J579
+IF($M$85="x",1)+IF($M$113="x",1)+IF($M$120="x",2)+IF($M$119="x",2)+IF($M$105="x",1)+IF($M$110="x",1)+IF($M$111="x",2)+IF($M$112="x",4)+IF($M$108="x",1)-IF($M$109="x",1)-IF($M$99="x",1)+IF($M$90="x",1)
&amp;"/"&amp;SUM($C$3,$I$2)-$C$120+IF($C$75="x",2)+$I$16-$B$10+$M$94+IF($C$77="x",2)-IF($C$78="x",4)-IF($I$78="x",1)-IF($C$79="x",4)+IF($C$80="x",1)-IF($I$77="x",2)-IF($I$90="x",2)+IF($I$83="x",2)-IF($C$83="x",4)-$C$112-10+IF(H579="x",1)+I579+$M$77+IF(H581="x",1)+IF(J581="x",1)+IF($M$76="x",2)+J579+IF($M$85="x",1)+IF($M$113="x",1)+IF($M$120="x",2)+IF($M$119="x",2)+IF($M$105="x",1)+IF($M$110="x",1)+IF($M$111="x",2)+IF($M$112="x",4)+IF($M$108="x",1)-IF($M$109="x",1)-IF($M$99="x",1)+IF($M$90="x",1)
&amp;"/"&amp;SUM($C$3,$I$2)-$C$120+IF($C$75="x",2)+$I$16-$B$10+$M$94+IF($C$77="x",2)-IF($C$78="x",4)-IF($I$78="x",1)-IF($C$79="x",4)+IF($C$80="x",1)-IF($I$77="x",2)-IF($I$90="x",2)+IF($I$83="x",2)-IF($C$83="x",4)-$C$112-15+IF(H579="x",1)+I579+$M$77+IF(H581="x",1)+IF(J581="x",1)+IF($M$76="x",2)+J579+IF($M$85="x",1)+IF($M$113="x",1)+IF($M$120="x",2)+IF($M$119="x",2)+IF($M$105="x",1)+IF($M$110="x",1)+IF($M$111="x",2)+IF($M$112="x",4)+IF($M$108="x",1)-IF($M$109="x",1)-IF($M$99="x",1)+IF($M$90="x",1))))))</f>
        <v>0</v>
      </c>
      <c r="C579" s="114" t="str">
        <f>_xlfn.IFS($C$7="Minimaalinen","1n2",$C$7="Taskukokoinen","1n3",$C$7="Hyvin pieni","1n4",$C$7="Pieni","1n6",$C$7="Keskikokoinen","1n8",$C$7="Iso","2n6",$C$7="Valtava","3n6",$C$7="Suunnaton","4n6",$C$7="Giganttinen","6n6")</f>
        <v>1n8</v>
      </c>
      <c r="D579" s="119">
        <f>IF($I$2&lt;0,$I$2,INT($I$2*1.5))+($C$120*2)+I579+$M$77+IF(I581="x",2)+IF(K581="x",2)+IF($M$119="x",2)+IF($M$108="x",1)+$M$94-IF($M$109="x",1)+K579</f>
        <v>0</v>
      </c>
      <c r="E579" s="114" t="str">
        <f>_xlfn.IFS($C$7="Minimaalinen","3n2",$C$7="Taskukokoinen","3n3",$C$7="Hyvin pieni","3n4",$C$7="Pieni","3n6",$C$7="Keskikokoinen","3n8",$C$7="Iso","6n6",$C$7="Valtava","9n6",$C$7="Suunnaton","12n6",$C$7="Giganttinen","18n6")</f>
        <v>3n8</v>
      </c>
      <c r="F579" s="120">
        <f>SUM(D579*3)</f>
        <v>0</v>
      </c>
      <c r="G579" s="120" t="str">
        <f>(IF($I$89="x","50 %","")&amp;(IF($C$81="x","20 %",""))&amp;(IF($C$82="x","50 %",""&amp;IF($M$91="x","50 % (5 j 20 %)",""&amp;IF($M$115="x","50 % (5 j 20 %)",""&amp;IF($M$120="x","20 %",""))))))</f>
        <v/>
      </c>
      <c r="H579" s="28"/>
      <c r="I579" s="17">
        <v>0</v>
      </c>
      <c r="J579" s="17">
        <v>0</v>
      </c>
      <c r="K579" s="17">
        <v>0</v>
      </c>
      <c r="AB579" s="50"/>
      <c r="AC579" s="51"/>
      <c r="AD579" s="49"/>
      <c r="AE579" s="51"/>
      <c r="AF579" s="49"/>
      <c r="AG579" s="49"/>
      <c r="AH579" s="49"/>
      <c r="AI579" s="40"/>
      <c r="AJ579" s="40"/>
      <c r="AK579" s="40"/>
      <c r="AL579" s="40"/>
    </row>
    <row r="580" spans="1:38" x14ac:dyDescent="0.2">
      <c r="A580" s="25" t="s">
        <v>328</v>
      </c>
      <c r="B580" s="121">
        <f>IF($I$85="x","PAINISSA",IF($C$3&lt;=5,SUM($C$3,$I$2)-$C$120+IF($C$75="x",2)+$I$16-$B$10+$M$94+IF($C$77="x",2)-IF($C$78="x",4)-IF($I$78="x",1)-IF($C$79="x",4)+IF($C$80="x",1)-IF($I$77="x",2)-IF($I$90="x",2)+IF($I$83="x",2)-IF($C$75="x",4)-$C$112+IF(H579="x",1)+I579+$M$77+IF(H581="x",1)+IF(J581="x",1)+IF($M$76="x",2)+J579+IF($M$85="x",1)+IF($M$113="x",1)+IF($M$120="x",2)+IF($M$119="x",2)+IF($M$105="x",1)+IF($M$110="x",1)+IF($M$111="x",2)+IF($M$112="x",4)+IF($M$108="x",1)-IF($M$109="x",1)-IF($M$99="x",1)+IF($M$90="x",1)-IF($C$97="x",2,4),
IF(AND($C$3&gt;5,$C$3&lt;11),SUM($C$3,$I$2)-$C$120+IF($C$75="x",2)+$I$16-$B$10+$M$94+IF($C$77="x",2)-IF($C$78="x",4)-IF($I$78="x",1)-IF($C$79="x",4)+IF($C$80="x",1)-IF($I$77="x",2)-IF($I$90="x",2)+IF($I$83="x",2)-IF($C$83="x",4)-$C$112+IF(H579="x",1)+I579+$M$77+IF(H581="x",1)+IF(J581="x",1)+IF($M$76="x",2)+J579+IF($M$85="x",1)+IF($M$113="x",1)+IF($M$120="x",2)+IF($M$119="x",2)+IF($M$105="x",1)+IF($M$110="x",1)+IF($M$111="x",2)+IF($M$112="x",4)+IF($M$108="x",1)-IF($M$109="x",1)-IF($M$99="x",1)+IF($M$90="x",1)-IF($C$97="x",2,4)
&amp;"/"&amp;SUM($C$3,$I$2)-$C$120+IF($C$75="x",2)+$I$16-$B$10+$M$94+IF($C$77="x",2)-IF($C$78="x",4)-IF($I$78="x",1)-IF($C$79="x",4)+IF($C$80="x",1)-IF($I$77="x",2)-IF($I$90="x",2)+IF($I$83="x",2)-IF($C$83="x",4)-$C$112-5+IF(H579="x",1)+I579+$M$77+IF(H581="x",1)+IF(J581="x",1)+IF($M$76="x",2)+J579+IF($M$85="x",1)+IF($M$113="x",1)+IF($M$120="x",2)+IF($M$119="x",2)+IF($M$105="x",1)+IF($M$110="x",1)+IF($M$111="x",2)+IF($M$112="x",4)+IF($M$108="x",1)-IF($M$109="x",1)-IF($M$99="x",1)+IF($M$90="x",1)-IF($C$97="x",2,4),
IF(AND($C$3&gt;10,$C$3&lt;16),SUM($C$3,$I$2)-$C$120+IF($C$75="x",2)+$I$16-$B$10+$M$94+IF($C$77="x",2)-IF($C$78="x",4)-IF($I$78="x",1)-IF($C$79="x",4)+IF($C$80="x",1)-IF($I$77="x",2)-IF($I$90="x",2)+IF($I$83="x",2)-IF($C$83="x",4)-$C$112+I567+$M$77+IF(J569="x",1)+IF($M$76="x",2)+J567+IF($M$85="x",1)+IF($M$113="x",1)+IF($M$120="x",2)+IF($M$119="x",2)+IF($M$105="x",1)+IF($M$110="x",1)+IF($M$111="x",2)+IF($M$112="x",4)+IF($M$108="x",1)-IF($M$109="x",1)+IF($M$99="x",20)-IF($M$99="x",1)+IF($M$90="x",1)-IF($C$97="x",2,4)
&amp;"/"&amp;SUM($C$3,$I$2)-$C$120+IF($C$75="x",2)+$I$16-$B$10+$M$94+IF($C$77="x",2)-IF($C$78="x",4)-IF($I$78="x",1)-IF($C$79="x",4)+IF($C$80="x",1)-IF($I$77="x",2)-IF($I$90="x",2)+IF($I$83="x",2)-IF($C$83="x",4)-$C$112-5+IF(H579="x",1)+I579+$M$77+IF(H581="x",1)+IF(J581="x",1)+IF($M$76="x",2)+J579+IF($M$85="x",1)+IF($M$113="x",1)+IF($M$120="x",2)+IF($M$119="x",2)+IF($M$105="x",1)+IF($M$110="x",1)+IF($M$111="x",2)+IF($M$112="x",4)+IF($M$108="x",1)-IF($M$109="x",1)-IF($M$99="x",1)+IF($M$90="x",1)-IF($C$97="x",2,4)
&amp;"/"&amp;SUM($C$3,$I$2)-$C$120+IF($C$75="x",2)+$I$16-$B$10+$M$94+IF($C$77="x",2)-IF($C$78="x",4)-IF($I$78="x",1)-IF($C$79="x",4)+IF($C$80="x",1)-IF($I$77="x",2)-IF($I$90="x",2)+IF($I$83="x",2)-IF($C$83="x",4)-$C$112-10+IF(H579="x",1)+I579+$M$77+IF(H581="x",1)+IF(J581="x",1)+IF($M$76="x",2)+J579+IF($M$85="x",1)+IF($M$113="x",1)+IF($M$120="x",2)+IF($M$119="x",2)+IF($M$105="x",1)+IF($M$110="x",1)+IF($M$111="x",2)+IF($M$112="x",4)+IF($M$108="x",1)-IF($M$109="x",1)-IF($M$99="x",1)+IF($M$90="x",1)-IF($C$97="x",2,4),
IF(AND($C$3&gt;15),SUM($C$3,$I$2)-$C$120+IF($C$75="x",2)+$I$16-$B$10+$M$94+IF($C$77="x",2)-IF($C$78="x",4)-IF($I$78="x",1)-IF($C$79="x",4)+IF($C$80="x",1)-IF($I$77="x",2)-IF($I$90="x",2)+IF($I$83="x",2)-IF($C$83="x",4)-$C$112+IF(H579="x",1)+I579+$M$77+IF(H581="x",1)+IF(J581="x",1)+IF($M$76="x",2)+J579+IF($M$85="x",1)+IF($M$113="x",1)+IF($M$120="x",2)+IF($M$119="x",2)+IF($M$105="x",1)+IF($M$110="x",1)+IF($M$111="x",2)+IF($M$112="x",4)+IF($M$108="x",1)-IF($M$109="x",1)-IF($M$99="x",1)+IF($M$90="x",1)-IF($C$97="x",2,4)
&amp;"/"&amp;SUM($C$3,$I$2)-$C$120+IF($C$75="x",2)+$I$16-$B$10+$M$94+IF($C$77="x",2)-IF($C$78="x",4)-IF($I$78="x",1)-IF($C$79="x",4)+IF($C$80="x",1)-IF($I$77="x",2)-IF($I$90="x",2)+IF($I$83="x",2)-IF($C$83="x",4)-$C$112-5+IF(H579="x",1)+I579+$M$77+IF(H581="x",1)+IF(J581="x",1)+IF($M$76="x",2)+J579
+IF($M$85="x",1)+IF($M$113="x",1)+IF($M$120="x",2)+IF($M$119="x",2)+IF($M$105="x",1)+IF($M$110="x",1)+IF($M$111="x",2)+IF($M$112="x",4)+IF($M$108="x",1)-IF($M$109="x",1)-IF($M$99="x",1)+IF($M$90="x",1)-IF($C$97="x",2,4)
&amp;"/"&amp;SUM($C$3,$I$2)-$C$120+IF($C$75="x",2)+$I$16-$B$10+$M$94+IF($C$77="x",2)-IF($C$78="x",4)-IF($I$78="x",1)-IF($C$79="x",4)+IF($C$80="x",1)-IF($I$77="x",2)-IF($I$90="x",2)+IF($I$83="x",2)-IF($C$83="x",4)-$C$112-10+IF(H579="x",1)+I579+$M$77+IF(H581="x",1)+IF(J581="x",1)+IF($M$76="x",2)+J579+IF($M$85="x",1)+IF($M$113="x",1)+IF($M$120="x",2)+IF($M$119="x",2)+IF($M$105="x",1)+IF($M$110="x",1)+IF($M$111="x",2)+IF($M$112="x",4)+IF($M$108="x",1)-IF($M$109="x",1)-IF($M$99="x",1)+IF($M$90="x",1)-IF($C$97="x",2,4)
&amp;"/"&amp;SUM($C$3,$I$2)-$C$120+IF($C$75="x",2)+$I$16-$B$10+$M$94+IF($C$77="x",2)-IF($C$78="x",4)-IF($I$78="x",1)-IF($C$79="x",4)+IF($C$80="x",1)-IF($I$77="x",2)-IF($I$90="x",2)+IF($I$83="x",2)-IF($C$83="x",4)-$C$112-15+IF(H579="x",1)+I579+$M$77+IF(H581="x",1)+IF(J581="x",1)+IF($M$76="x",2)+J579+IF($M$85="x",1)+IF($M$113="x",1)+IF($M$120="x",2)+IF($M$119="x",2)+IF($M$105="x",1)+IF($M$110="x",1)+IF($M$111="x",2)+IF($M$112="x",4)+IF($M$108="x",1)-IF($M$109="x",1)-IF($M$99="x",1)+IF($M$90="x",1)-IF($C$97="x",2,4))))))</f>
        <v>-4</v>
      </c>
      <c r="C580" s="49" t="str">
        <f>_xlfn.IFS($C$7="Minimaalinen","1n2",$C$7="Taskukokoinen","1n3",$C$7="Hyvin pieni","1n4",$C$7="Pieni","1n6",$C$7="Keskikokoinen","1n8",$C$7="Iso","2n6",$C$7="Valtava","3n6",$C$7="Suunnaton","4n6",$C$7="Giganttinen","6n6")</f>
        <v>1n8</v>
      </c>
      <c r="D580" s="121">
        <f>SUM($I$2+$C$120)+I579+$M$77+IF(I581="x",2)+IF(K581="x",2)+IF($M$119="x",2)+IF($M$108="x",1)+$M$94-IF($M$109="x",1)+K579</f>
        <v>0</v>
      </c>
      <c r="E580" s="49" t="str">
        <f>_xlfn.IFS($C$7="Minimaalinen","3n2",$C$7="Taskukokoinen","3n3",$C$7="Hyvin pieni","3n4",$C$7="Pieni","3n6",$C$7="Keskikokoinen","3n8",$C$7="Iso","6n6",$C$7="Valtava","9n6",$C$7="Suunnaton","12n6",$C$7="Giganttinen","18n6")</f>
        <v>3n8</v>
      </c>
      <c r="F580" s="82">
        <f>SUM(D580*3)</f>
        <v>0</v>
      </c>
      <c r="G580" s="82" t="str">
        <f>(IF($I$89="x","50 %","")&amp;(IF($C$81="x","20 %",""))&amp;(IF($C$82="x","50 %",""&amp;IF($M$91="x","50 % (5 j 20 %)",""&amp;IF($M$115="x","50 % (5 j 20 %)",""&amp;IF($M$120="x","20 %",""))))))</f>
        <v/>
      </c>
      <c r="H580" s="14" t="s">
        <v>220</v>
      </c>
      <c r="I580" s="14" t="s">
        <v>221</v>
      </c>
      <c r="J580" s="14" t="s">
        <v>222</v>
      </c>
      <c r="K580" s="14" t="s">
        <v>223</v>
      </c>
      <c r="AB580" s="50"/>
      <c r="AC580" s="49"/>
      <c r="AD580" s="49"/>
      <c r="AE580" s="51"/>
      <c r="AF580" s="49"/>
      <c r="AG580" s="49"/>
      <c r="AH580" s="49"/>
      <c r="AI580" s="48"/>
    </row>
    <row r="581" spans="1:38" x14ac:dyDescent="0.2">
      <c r="A581" s="122" t="s">
        <v>331</v>
      </c>
      <c r="B581" s="123">
        <f>IF($I$85="x","PAINISSA",IF(AND($C$90="",$C$118=""),SUM($C$3,$I$2)-$C$120+IF($C$75="x",2)+$I$16-$B$10+$M$94+IF($C$77="x",2)-IF($C$78="x",4)-IF($I$78="x",1)-IF($C$79="x",4)+IF($C$80="x",1)-IF($I$77="x",2)-IF($I$90="x",2)+IF($I$83="x",2)-IF($C$75="x",4)-$C$112+IF(H579="x",1)+I579+$M$77+IF(H581="x",1)+IF(J581="x",1)+IF($M$76="x",2)+J579+IF($M$85="x",1)+IF($M$113="x",1)+IF($M$120="x",2)+IF($M$119="x",2)+IF($M$105="x",1)+IF($M$110="x",1)+IF($M$111="x",2)+IF($M$112="x",4)+IF($M$108="x",1)-IF($M$109="x",1)-IF($M$99="x",1)+IF($M$90="x",1)-IF($C$97="x",2,8),
IF(AND($C$90="x",$C$118=""),SUM($C$3,$I$2)-$C$120+IF($C$75="x",2)+$I$16-$B$10+$M$94+IF($C$77="x",2)-IF($C$78="x",4)-IF($I$78="x",1)-IF($C$79="x",4)+IF($C$80="x",1)-IF($I$77="x",2)-IF($I$90="x",2)+IF($I$83="x",2)-IF($C$83="x",4)-$C$112+IF(H579="x",1)+I579+$M$77+IF(H581="x",1)+IF(J581="x",1)+IF($M$76="x",2)+J579+IF($M$85="x",1)+IF($M$113="x",1)+IF($M$120="x",2)+IF($M$119="x",2)+IF($M$105="x",1)+IF($M$110="x",1)+IF($M$111="x",2)+IF($M$112="x",4)+IF($M$108="x",1)-IF($M$109="x",1)-IF($M$99="x",1)+IF($M$90="x",1)-IF($C$97="x",2,8)
&amp;"/"&amp;SUM($C$3,$I$2)-$C$120+IF($C$75="x",2)+$I$16-$B$10+$M$94+IF($C$77="x",2)-IF($C$78="x",4)-IF($I$78="x",1)-IF($C$79="x",4)+IF($C$80="x",1)-IF($I$77="x",2)-IF($I$90="x",2)+IF($I$83="x",2)-IF($C$83="x",4)-$C$112+IF(H579="x",1)+I579+$M$77+IF(H581="x",1)+IF(J581="x",1)+IF($M$76="x",2)+J579+IF($M$85="x",1)+IF($M$113="x",1)+IF($M$120="x",2)+IF($M$119="x",2)+IF($M$105="x",1)+IF($M$110="x",1)+IF($M$111="x",2)+IF($M$112="x",4)+IF($M$108="x",1)-IF($M$109="x",1)-IF($M$99="x",1)+IF($M$90="x",1)-IF($C$97="x",2,8)-5,
IF(AND($C$90="x",$C$118="x"),SUM($C$3,$I$2)-$C$120+IF($C$75="x",2)+$I$16-$B$10+$M$94+IF($C$77="x",2)-IF($C$78="x",4)-IF($I$78="x",1)-IF($C$79="x",4)+IF($C$80="x",1)-IF($I$77="x",2)-IF($I$90="x",2)+IF($I$83="x",2)-IF($C$83="x",4)-$C$112+IF(H579="x",1)+I579+$M$77+IF(H581="x",1)+IF(J581="x",1)+IF($M$76="x",2)+J579+IF($M$85="x",1)+IF($M$113="x",1)+IF($M$120="x",2)+IF($M$119="x",2)+IF($M$105="x",1)+IF($M$110="x",1)+IF($M$111="x",2)+IF($M$112="x",4)+IF($M$108="x",1)-IF($M$109="x",1)+IF($M$99="x",20)-IF($M$99="x",1)+IF($M$90="x",1)-IF($C$97="x",2,8)
&amp;"/"&amp;SUM($C$3,$I$2)-$C$120+IF($C$75="x",2)+$I$16-$B$10+$M$94+IF($C$77="x",2)-IF($C$78="x",4)-IF($I$78="x",1)-IF($C$79="x",4)+IF($C$80="x",1)-IF($I$77="x",2)-IF($I$90="x",2)+IF($I$83="x",2)-IF($C$83="x",4)-$C$112-5+IF(H579="x",1)+I579+$M$77+IF(H581="x",1)+IF(J581="x",1)+IF($M$76="x",2)+J579+IF($M$85="x",1)+IF($M$113="x",1)+IF($M$120="x",2)+IF($M$119="x",2)+IF($M$105="x",1)+IF($M$110="x",1)+IF($M$111="x",2)+IF($M$112="x",4)+IF($M$108="x",1)-IF($M$109="x",1)-IF($M$99="x",1)+IF($M$90="x",1)-IF($C$97="x",4,10)
&amp;"/"&amp;SUM($C$3,$I$2)-$C$120+IF($C$75="x",2)+$I$16-$B$10+$M$94+IF($C$77="x",2)-IF($C$78="x",4)-IF($I$78="x",1)-IF($C$79="x",4)+IF($C$80="x",1)-IF($I$77="x",2)-IF($I$90="x",2)+IF($I$83="x",2)-IF($C$83="x",4)-$C$112-10+IF(H579="x",1)+I579+$M$77+IF(H581="x",1)+IF(J581="x",1)+IF($M$76="x",2)+J579+IF($M$85="x",1)+IF($M$113="x",1)+IF($M$120="x",2)+IF($M$119="x",2)+IF($M$105="x",1)+IF($M$110="x",1)+IF($M$111="x",2)+IF($M$112="x",4)+IF($M$108="x",1)-IF($M$109="x",1)-IF($M$99="x",1)+IF($M$90="x",1)-IF($C$97="x",2,8)))))</f>
        <v>-8</v>
      </c>
      <c r="C581" s="54" t="str">
        <f>_xlfn.IFS($C$7="Minimaalinen","1",$C$7="Taskukokoinen","1n2",$C$7="Hyvin pieni","1n3",$C$7="Pieni","1n4",$C$7="Keskikokoinen","1n6",$C$7="Iso","1n8",$C$7="Valtava","2n6",$C$7="Suunnaton","3n6",$C$7="Giganttinen","4n6")</f>
        <v>1n6</v>
      </c>
      <c r="D581" s="123">
        <f>INT($I$2/2)+($C$120)+I579+$M$77+IF(I581="x",2)+IF(K581="x",2)+IF($M$119="x",2)+IF($M$108="x",1)+$M$94-IF($M$109="x",1)+K579</f>
        <v>0</v>
      </c>
      <c r="E581" s="54" t="str">
        <f>_xlfn.IFS($C$7="Minimaalinen","4",$C$7="Taskukokoinen","4n2",$C$7="Hyvin pieni","4n3",$C$7="Pieni","4n4",$C$7="Keskikokoinen","4n6",$C$7="Iso","4n8",$C$7="Valtava","8n6",$C$7="Suunnaton","12n6",$C$7="Giganttinen","16n6")</f>
        <v>4n6</v>
      </c>
      <c r="F581" s="124">
        <f>SUM(D581*4)</f>
        <v>0</v>
      </c>
      <c r="G581" s="124" t="str">
        <f>(IF($I$89="x","50 %","")&amp;(IF($C$81="x","20 %",""))&amp;(IF($C$82="x","50 %",""&amp;IF($M$91="x","50 % (5 j 20 %)",""&amp;IF($M$115="x","50 % (5 j 20 %)",""&amp;IF($M$120="x","20 %",""))))))</f>
        <v/>
      </c>
      <c r="H581" s="28"/>
      <c r="I581" s="28"/>
      <c r="J581" s="28"/>
      <c r="K581" s="28"/>
      <c r="AB581" s="52"/>
      <c r="AC581" s="53"/>
      <c r="AD581" s="54"/>
      <c r="AE581" s="53"/>
      <c r="AF581" s="54"/>
      <c r="AG581" s="54"/>
      <c r="AH581" s="54"/>
      <c r="AI581" s="60"/>
    </row>
    <row r="582" spans="1:38" x14ac:dyDescent="0.2">
      <c r="B582" s="15"/>
      <c r="C582" s="15"/>
      <c r="D582" s="15"/>
      <c r="F582" s="15"/>
      <c r="G582" s="15"/>
      <c r="H582" s="15"/>
      <c r="I582" s="15"/>
      <c r="AB582" s="146"/>
      <c r="AC582" s="57"/>
      <c r="AD582" s="57"/>
      <c r="AE582" s="57"/>
      <c r="AF582" s="57"/>
      <c r="AG582" s="57"/>
      <c r="AH582" s="57"/>
      <c r="AI582" s="48"/>
      <c r="AJ582" s="48"/>
      <c r="AK582" s="48"/>
      <c r="AL582" s="48"/>
    </row>
    <row r="583" spans="1:38" x14ac:dyDescent="0.2">
      <c r="B583" s="15"/>
      <c r="C583" s="15"/>
      <c r="D583" s="15"/>
      <c r="F583" s="15"/>
      <c r="G583" s="15"/>
      <c r="H583" s="15"/>
      <c r="I583" s="15"/>
      <c r="AB583" s="57"/>
      <c r="AC583" s="57"/>
      <c r="AD583" s="57"/>
      <c r="AE583" s="57"/>
      <c r="AF583" s="57"/>
      <c r="AG583" s="57"/>
      <c r="AH583" s="57"/>
      <c r="AI583" s="40"/>
      <c r="AJ583" s="40"/>
      <c r="AK583" s="40"/>
      <c r="AL583" s="40"/>
    </row>
    <row r="584" spans="1:38" x14ac:dyDescent="0.2">
      <c r="A584" s="34" t="s">
        <v>255</v>
      </c>
      <c r="B584" s="11" t="s">
        <v>1</v>
      </c>
      <c r="C584" s="11" t="s">
        <v>2</v>
      </c>
      <c r="D584" s="11" t="s">
        <v>3</v>
      </c>
      <c r="E584" s="11" t="s">
        <v>229</v>
      </c>
      <c r="F584" s="11" t="s">
        <v>3</v>
      </c>
      <c r="G584" s="11" t="s">
        <v>45</v>
      </c>
      <c r="H584" s="14" t="s">
        <v>179</v>
      </c>
      <c r="I584" s="130" t="s">
        <v>242</v>
      </c>
      <c r="J584" s="130" t="s">
        <v>224</v>
      </c>
      <c r="K584" s="130" t="s">
        <v>225</v>
      </c>
      <c r="AB584" s="46"/>
    </row>
    <row r="585" spans="1:38" x14ac:dyDescent="0.2">
      <c r="A585" s="58" t="s">
        <v>236</v>
      </c>
      <c r="B585" s="119">
        <f>IF($I$85="x","PAINISSA",IF($C$3&lt;=5,SUM($C$3,$I$2)-$C$120+IF($C$75="x",2)+$I$16-$B$10+$M$94+IF($C$77="x",2)-IF($C$78="x",4)-IF($I$78="x",1)-IF($C$79="x",4)+IF($C$80="x",1)-IF($I$77="x",2)-IF($I$90="x",2)+IF($I$83="x",2)-IF($C$75="x",4)-$C$112+IF(H585="x",1)+I585+$M$77+IF(H587="x",1)+IF(J587="x",1)+IF($M$76="x",2)+J585+IF($M$85="x",1)+IF($M$113="x",1)+IF($M$120="x",2)+IF($M$119="x",2)+IF($M$105="x",1)+IF($M$110="x",1)+IF($M$111="x",2)+IF($M$112="x",4)+IF($M$108="x",1)-IF($M$109="x",1)-IF($M$99="x",1)+IF($M$90="x",1),
IF(AND($C$3&gt;5,$C$3&lt;11),SUM($C$3,$I$2)-$C$120+IF($C$75="x",2)+$I$16-$B$10+$M$94+IF($C$77="x",2)-IF($C$78="x",4)-IF($I$78="x",1)-IF($C$79="x",4)+IF($C$80="x",1)-IF($I$77="x",2)-IF($I$90="x",2)+IF($I$83="x",2)-IF($C$83="x",4)-$C$112+IF(H585="x",1)+I585+$M$77+IF(H587="x",1)+IF(J587="x",1)+IF($M$76="x",2)+J585+IF($M$85="x",1)+IF($M$113="x",1)+IF($M$120="x",2)+IF($M$119="x",2)+IF($M$105="x",1)+IF($M$110="x",1)+IF($M$111="x",2)+IF($M$112="x",4)+IF($M$108="x",1)-IF($M$109="x",1)-IF($M$99="x",1)+IF($M$90="x",1)
&amp;"/"&amp;SUM($C$3,$I$2)-$C$120+IF($C$75="x",2)+$I$16-$B$10+$M$94+IF($C$77="x",2)-IF($C$78="x",4)-IF($I$78="x",1)-IF($C$79="x",4)+IF($C$80="x",1)-IF($I$77="x",2)-IF($I$90="x",2)+IF($I$83="x",2)-IF($C$83="x",4)-$C$112-5+IF(H585="x",1)+I585+$M$77+IF(H587="x",1)+IF(J587="x",1)+IF($M$76="x",2)+J585+IF($M$85="x",1)+IF($M$113="x",1)+IF($M$120="x",2)+IF($M$119="x",2)+IF($M$105="x",1)+IF($M$110="x",1)+IF($M$111="x",2)+IF($M$112="x",4)+IF($M$108="x",1)-IF($M$109="x",1)-IF($M$99="x",1)+IF($M$90="x",1),
IF(AND($C$3&gt;10,$C$3&lt;16),SUM($C$3,$I$2)-$C$120+IF($C$75="x",2)+$I$16-$B$10+$M$94+IF($C$77="x",2)-IF($C$78="x",4)-IF($I$78="x",1)-IF($C$79="x",4)+IF($C$80="x",1)-IF($I$77="x",2)-IF($I$90="x",2)+IF($I$83="x",2)-IF($C$83="x",4)-$C$112+I567+$M$77+IF(J569="x",1)+IF($M$76="x",2)+J567+IF($M$85="x",1)+IF($M$113="x",1)+IF($M$120="x",2)+IF($M$119="x",2)+IF($M$105="x",1)+IF($M$110="x",1)+IF($M$111="x",2)+IF($M$112="x",4)+IF($M$108="x",1)-IF($M$109="x",1)+IF($M$99="x",20)-IF($M$99="x",1)+IF($M$90="x",1)
&amp;"/"&amp;SUM($C$3,$I$2)-$C$120+IF($C$75="x",2)+$I$16-$B$10+$M$94+IF($C$77="x",2)-IF($C$78="x",4)-IF($I$78="x",1)-IF($C$79="x",4)+IF($C$80="x",1)-IF($I$77="x",2)-IF($I$90="x",2)+IF($I$83="x",2)-IF($C$83="x",4)-$C$112-5+IF(H585="x",1)+I585+$M$77+IF(H587="x",1)+IF(J587="x",1)+IF($M$76="x",2)+J585+IF($M$85="x",1)+IF($M$113="x",1)+IF($M$120="x",2)+IF($M$119="x",2)+IF($M$105="x",1)+IF($M$110="x",1)+IF($M$111="x",2)+IF($M$112="x",4)+IF($M$108="x",1)-IF($M$109="x",1)-IF($M$99="x",1)+IF($M$90="x",1)
&amp;"/"&amp;SUM($C$3,$I$2)-$C$120+IF($C$75="x",2)+$I$16-$B$10+$M$94+IF($C$77="x",2)-IF($C$78="x",4)-IF($I$78="x",1)-IF($C$79="x",4)+IF($C$80="x",1)-IF($I$77="x",2)-IF($I$90="x",2)+IF($I$83="x",2)-IF($C$83="x",4)-$C$112-10+IF(H585="x",1)+I585+$M$77+IF(H587="x",1)+IF(J587="x",1)+IF($M$76="x",2)+J585+IF($M$85="x",1)+IF($M$113="x",1)+IF($M$120="x",2)+IF($M$119="x",2)+IF($M$105="x",1)+IF($M$110="x",1)+IF($M$111="x",2)+IF($M$112="x",4)+IF($M$108="x",1)-IF($M$109="x",1)-IF($M$99="x",1)+IF($M$90="x",1),
IF(AND($C$3&gt;15),SUM($C$3,$I$2)-$C$120+IF($C$75="x",2)+$I$16-$B$10+$M$94+IF($C$77="x",2)-IF($C$78="x",4)-IF($I$78="x",1)-IF($C$79="x",4)+IF($C$80="x",1)-IF($I$77="x",2)-IF($I$90="x",2)+IF($I$83="x",2)-IF($C$83="x",4)-$C$112+IF(H585="x",1)+I585+$M$77+IF(H587="x",1)+IF(J587="x",1)+IF($M$76="x",2)+J585+IF($M$85="x",1)+IF($M$113="x",1)+IF($M$120="x",2)+IF($M$119="x",2)+IF($M$105="x",1)+IF($M$110="x",1)+IF($M$111="x",2)+IF($M$112="x",4)+IF($M$108="x",1)-IF($M$109="x",1)-IF($M$99="x",1)+IF($M$90="x",1)
&amp;"/"&amp;SUM($C$3,$I$2)-$C$120+IF($C$75="x",2)+$I$16-$B$10+$M$94+IF($C$77="x",2)-IF($C$78="x",4)-IF($I$78="x",1)-IF($C$79="x",4)+IF($C$80="x",1)-IF($I$77="x",2)-IF($I$90="x",2)+IF($I$83="x",2)-IF($C$83="x",4)-$C$112-5+IF(H585="x",1)+I585+$M$77+IF(H587="x",1)+IF(J587="x",1)+IF($M$76="x",2)+J585
+IF($M$85="x",1)+IF($M$113="x",1)+IF($M$120="x",2)+IF($M$119="x",2)+IF($M$105="x",1)+IF($M$110="x",1)+IF($M$111="x",2)+IF($M$112="x",4)+IF($M$108="x",1)-IF($M$109="x",1)-IF($M$99="x",1)+IF($M$90="x",1)
&amp;"/"&amp;SUM($C$3,$I$2)-$C$120+IF($C$75="x",2)+$I$16-$B$10+$M$94+IF($C$77="x",2)-IF($C$78="x",4)-IF($I$78="x",1)-IF($C$79="x",4)+IF($C$80="x",1)-IF($I$77="x",2)-IF($I$90="x",2)+IF($I$83="x",2)-IF($C$83="x",4)-$C$112-10+IF(H585="x",1)+I585+$M$77+IF(H587="x",1)+IF(J587="x",1)+IF($M$76="x",2)+J585+IF($M$85="x",1)+IF($M$113="x",1)+IF($M$120="x",2)+IF($M$119="x",2)+IF($M$105="x",1)+IF($M$110="x",1)+IF($M$111="x",2)+IF($M$112="x",4)+IF($M$108="x",1)-IF($M$109="x",1)-IF($M$99="x",1)+IF($M$90="x",1)
&amp;"/"&amp;SUM($C$3,$I$2)-$C$120+IF($C$75="x",2)+$I$16-$B$10+$M$94+IF($C$77="x",2)-IF($C$78="x",4)-IF($I$78="x",1)-IF($C$79="x",4)+IF($C$80="x",1)-IF($I$77="x",2)-IF($I$90="x",2)+IF($I$83="x",2)-IF($C$83="x",4)-$C$112-15+IF(H585="x",1)+I585+$M$77+IF(H587="x",1)+IF(J587="x",1)+IF($M$76="x",2)+J585+IF($M$85="x",1)+IF($M$113="x",1)+IF($M$120="x",2)+IF($M$119="x",2)+IF($M$105="x",1)+IF($M$110="x",1)+IF($M$111="x",2)+IF($M$112="x",4)+IF($M$108="x",1)-IF($M$109="x",1)-IF($M$99="x",1)+IF($M$90="x",1))))))</f>
        <v>0</v>
      </c>
      <c r="C585" s="114" t="str">
        <f>_xlfn.IFS($C$7="Minimaalinen","1n2",$C$7="Taskukokoinen","1n3",$C$7="Hyvin pieni","1n4",$C$7="Pieni","1n6",$C$7="Keskikokoinen","1n8",$C$7="Iso","2n6",$C$7="Valtava","3n6",$C$7="Suunnaton","4n6",$C$7="Giganttinen","6n6")</f>
        <v>1n8</v>
      </c>
      <c r="D585" s="119">
        <f>IF($I$2&lt;0,$I$2,INT($I$2*1.5))+($C$120*2)+I585+$M$77+IF(I587="x",2)+IF(K587="x",2)+IF($M$119="x",2)+IF($M$108="x",1)+$M$94-IF($M$109="x",1)+K585</f>
        <v>0</v>
      </c>
      <c r="E585" s="114" t="str">
        <f>_xlfn.IFS($C$7="Minimaalinen","3n2",$C$7="Taskukokoinen","3n3",$C$7="Hyvin pieni","3n4",$C$7="Pieni","3n6",$C$7="Keskikokoinen","3n8",$C$7="Iso","6n6",$C$7="Valtava","9n6",$C$7="Suunnaton","12n6",$C$7="Giganttinen","18n6")</f>
        <v>3n8</v>
      </c>
      <c r="F585" s="120">
        <f>SUM(D585*3)</f>
        <v>0</v>
      </c>
      <c r="G585" s="120" t="str">
        <f>(IF($I$89="x","50 %","")&amp;(IF($C$81="x","20 %",""))&amp;(IF($C$82="x","50 %",""&amp;IF($M$91="x","50 % (5 j 20 %)",""&amp;IF($M$115="x","50 % (5 j 20 %)",""&amp;IF($M$120="x","20 %",""))))))</f>
        <v/>
      </c>
      <c r="H585" s="28"/>
      <c r="I585" s="17">
        <v>0</v>
      </c>
      <c r="J585" s="17">
        <v>0</v>
      </c>
      <c r="K585" s="17">
        <v>0</v>
      </c>
      <c r="AB585" s="46"/>
      <c r="AC585" s="48"/>
      <c r="AD585" s="48"/>
      <c r="AE585" s="48"/>
      <c r="AF585" s="48"/>
      <c r="AG585" s="48"/>
      <c r="AH585" s="48"/>
      <c r="AI585" s="48"/>
      <c r="AJ585" s="48"/>
      <c r="AK585" s="48"/>
      <c r="AL585" s="48"/>
    </row>
    <row r="586" spans="1:38" x14ac:dyDescent="0.2">
      <c r="A586" s="25" t="s">
        <v>329</v>
      </c>
      <c r="B586" s="121">
        <f>IF($I$85="x","PAINISSA",IF($C$3&lt;=5,SUM($C$3,$I$2)-$C$120+IF($C$75="x",2)+$I$16-$B$10+$M$94+IF($C$77="x",2)-IF($C$78="x",4)-IF($I$78="x",1)-IF($C$79="x",4)+IF($C$80="x",1)-IF($I$77="x",2)-IF($I$90="x",2)+IF($I$83="x",2)-IF($C$75="x",4)-$C$112+IF(H585="x",1)+I585+$M$77+IF(H587="x",1)+IF(J587="x",1)+IF($M$76="x",2)+J585+IF($M$85="x",1)+IF($M$113="x",1)+IF($M$120="x",2)+IF($M$119="x",2)+IF($M$105="x",1)+IF($M$110="x",1)+IF($M$111="x",2)+IF($M$112="x",4)+IF($M$108="x",1)-IF($M$109="x",1)-IF($M$99="x",1)+IF($M$90="x",1)-IF($C$97="x",2,4),
IF(AND($C$3&gt;5,$C$3&lt;11),SUM($C$3,$I$2)-$C$120+IF($C$75="x",2)+$I$16-$B$10+$M$94+IF($C$77="x",2)-IF($C$78="x",4)-IF($I$78="x",1)-IF($C$79="x",4)+IF($C$80="x",1)-IF($I$77="x",2)-IF($I$90="x",2)+IF($I$83="x",2)-IF($C$83="x",4)-$C$112+IF(H585="x",1)+I585+$M$77+IF(H587="x",1)+IF(J587="x",1)+IF($M$76="x",2)+J585+IF($M$85="x",1)+IF($M$113="x",1)+IF($M$120="x",2)+IF($M$119="x",2)+IF($M$105="x",1)+IF($M$110="x",1)+IF($M$111="x",2)+IF($M$112="x",4)+IF($M$108="x",1)-IF($M$109="x",1)-IF($M$99="x",1)+IF($M$90="x",1)-IF($C$97="x",2,4)
&amp;"/"&amp;SUM($C$3,$I$2)-$C$120+IF($C$75="x",2)+$I$16-$B$10+$M$94+IF($C$77="x",2)-IF($C$78="x",4)-IF($I$78="x",1)-IF($C$79="x",4)+IF($C$80="x",1)-IF($I$77="x",2)-IF($I$90="x",2)+IF($I$83="x",2)-IF($C$83="x",4)-$C$112-5+IF(H585="x",1)+I585+$M$77+IF(H587="x",1)+IF(J587="x",1)+IF($M$76="x",2)+J585+IF($M$85="x",1)+IF($M$113="x",1)+IF($M$120="x",2)+IF($M$119="x",2)+IF($M$105="x",1)+IF($M$110="x",1)+IF($M$111="x",2)+IF($M$112="x",4)+IF($M$108="x",1)-IF($M$109="x",1)-IF($M$99="x",1)+IF($M$90="x",1)-IF($C$97="x",2,4),
IF(AND($C$3&gt;10,$C$3&lt;16),SUM($C$3,$I$2)-$C$120+IF($C$75="x",2)+$I$16-$B$10+$M$94+IF($C$77="x",2)-IF($C$78="x",4)-IF($I$78="x",1)-IF($C$79="x",4)+IF($C$80="x",1)-IF($I$77="x",2)-IF($I$90="x",2)+IF($I$83="x",2)-IF($C$83="x",4)-$C$112+I567+$M$77+IF(J569="x",1)+IF($M$76="x",2)+J567+IF($M$85="x",1)+IF($M$113="x",1)+IF($M$120="x",2)+IF($M$119="x",2)+IF($M$105="x",1)+IF($M$110="x",1)+IF($M$111="x",2)+IF($M$112="x",4)+IF($M$108="x",1)-IF($M$109="x",1)+IF($M$99="x",20)-IF($M$99="x",1)+IF($M$90="x",1)-IF($C$97="x",2,4)
&amp;"/"&amp;SUM($C$3,$I$2)-$C$120+IF($C$75="x",2)+$I$16-$B$10+$M$94+IF($C$77="x",2)-IF($C$78="x",4)-IF($I$78="x",1)-IF($C$79="x",4)+IF($C$80="x",1)-IF($I$77="x",2)-IF($I$90="x",2)+IF($I$83="x",2)-IF($C$83="x",4)-$C$112-5+IF(H585="x",1)+I585+$M$77+IF(H587="x",1)+IF(J587="x",1)+IF($M$76="x",2)+J585+IF($M$85="x",1)+IF($M$113="x",1)+IF($M$120="x",2)+IF($M$119="x",2)+IF($M$105="x",1)+IF($M$110="x",1)+IF($M$111="x",2)+IF($M$112="x",4)+IF($M$108="x",1)-IF($M$109="x",1)-IF($M$99="x",1)+IF($M$90="x",1)-IF($C$97="x",2,4)
&amp;"/"&amp;SUM($C$3,$I$2)-$C$120+IF($C$75="x",2)+$I$16-$B$10+$M$94+IF($C$77="x",2)-IF($C$78="x",4)-IF($I$78="x",1)-IF($C$79="x",4)+IF($C$80="x",1)-IF($I$77="x",2)-IF($I$90="x",2)+IF($I$83="x",2)-IF($C$83="x",4)-$C$112-10+IF(H585="x",1)+I585+$M$77+IF(H587="x",1)+IF(J587="x",1)+IF($M$76="x",2)+J585+IF($M$85="x",1)+IF($M$113="x",1)+IF($M$120="x",2)+IF($M$119="x",2)+IF($M$105="x",1)+IF($M$110="x",1)+IF($M$111="x",2)+IF($M$112="x",4)+IF($M$108="x",1)-IF($M$109="x",1)-IF($M$99="x",1)+IF($M$90="x",1)-IF($C$97="x",2,4),
IF(AND($C$3&gt;15),SUM($C$3,$I$2)-$C$120+IF($C$75="x",2)+$I$16-$B$10+$M$94+IF($C$77="x",2)-IF($C$78="x",4)-IF($I$78="x",1)-IF($C$79="x",4)+IF($C$80="x",1)-IF($I$77="x",2)-IF($I$90="x",2)+IF($I$83="x",2)-IF($C$83="x",4)-$C$112+IF(H585="x",1)+I585+$M$77+IF(H587="x",1)+IF(J587="x",1)+IF($M$76="x",2)+J585+IF($M$85="x",1)+IF($M$113="x",1)+IF($M$120="x",2)+IF($M$119="x",2)+IF($M$105="x",1)+IF($M$110="x",1)+IF($M$111="x",2)+IF($M$112="x",4)+IF($M$108="x",1)-IF($M$109="x",1)-IF($M$99="x",1)+IF($M$90="x",1)-IF($C$97="x",2,4)
&amp;"/"&amp;SUM($C$3,$I$2)-$C$120+IF($C$75="x",2)+$I$16-$B$10+$M$94+IF($C$77="x",2)-IF($C$78="x",4)-IF($I$78="x",1)-IF($C$79="x",4)+IF($C$80="x",1)-IF($I$77="x",2)-IF($I$90="x",2)+IF($I$83="x",2)-IF($C$83="x",4)-$C$112-5+IF(H585="x",1)+I585+$M$77+IF(H587="x",1)+IF(J587="x",1)+IF($M$76="x",2)+J585
+IF($M$85="x",1)+IF($M$113="x",1)+IF($M$120="x",2)+IF($M$119="x",2)+IF($M$105="x",1)+IF($M$110="x",1)+IF($M$111="x",2)+IF($M$112="x",4)+IF($M$108="x",1)-IF($M$109="x",1)-IF($M$99="x",1)+IF($M$90="x",1)-IF($C$97="x",2,4)
&amp;"/"&amp;SUM($C$3,$I$2)-$C$120+IF($C$75="x",2)+$I$16-$B$10+$M$94+IF($C$77="x",2)-IF($C$78="x",4)-IF($I$78="x",1)-IF($C$79="x",4)+IF($C$80="x",1)-IF($I$77="x",2)-IF($I$90="x",2)+IF($I$83="x",2)-IF($C$83="x",4)-$C$112-10+IF(H585="x",1)+I585+$M$77+IF(H587="x",1)+IF(J587="x",1)+IF($M$76="x",2)+J585+IF($M$85="x",1)+IF($M$113="x",1)+IF($M$120="x",2)+IF($M$119="x",2)+IF($M$105="x",1)+IF($M$110="x",1)+IF($M$111="x",2)+IF($M$112="x",4)+IF($M$108="x",1)-IF($M$109="x",1)-IF($M$99="x",1)+IF($M$90="x",1)-IF($C$97="x",2,4)
&amp;"/"&amp;SUM($C$3,$I$2)-$C$120+IF($C$75="x",2)+$I$16-$B$10+$M$94+IF($C$77="x",2)-IF($C$78="x",4)-IF($I$78="x",1)-IF($C$79="x",4)+IF($C$80="x",1)-IF($I$77="x",2)-IF($I$90="x",2)+IF($I$83="x",2)-IF($C$83="x",4)-$C$112-15+IF(H585="x",1)+I585+$M$77+IF(H587="x",1)+IF(J587="x",1)+IF($M$76="x",2)+J585+IF($M$85="x",1)+IF($M$113="x",1)+IF($M$120="x",2)+IF($M$119="x",2)+IF($M$105="x",1)+IF($M$110="x",1)+IF($M$111="x",2)+IF($M$112="x",4)+IF($M$108="x",1)-IF($M$109="x",1)-IF($M$99="x",1)+IF($M$90="x",1)-IF($C$97="x",2,4))))))</f>
        <v>-4</v>
      </c>
      <c r="C586" s="49" t="str">
        <f>_xlfn.IFS($C$7="Minimaalinen","1n2",$C$7="Taskukokoinen","1n3",$C$7="Hyvin pieni","1n4",$C$7="Pieni","1n6",$C$7="Keskikokoinen","1n8",$C$7="Iso","2n6",$C$7="Valtava","3n6",$C$7="Suunnaton","4n6",$C$7="Giganttinen","6n6")</f>
        <v>1n8</v>
      </c>
      <c r="D586" s="121">
        <f>SUM($I$2+$C$120)+I585+$M$77+IF(I587="x",2)+IF(K587="x",2)+IF($M$119="x",2)+IF($M$108="x",1)+$M$94-IF($M$109="x",1)+K585</f>
        <v>0</v>
      </c>
      <c r="E586" s="49" t="str">
        <f>_xlfn.IFS($C$7="Minimaalinen","3n2",$C$7="Taskukokoinen","3n3",$C$7="Hyvin pieni","3n4",$C$7="Pieni","3n6",$C$7="Keskikokoinen","3n8",$C$7="Iso","6n6",$C$7="Valtava","9n6",$C$7="Suunnaton","12n6",$C$7="Giganttinen","18n6")</f>
        <v>3n8</v>
      </c>
      <c r="F586" s="82">
        <f>SUM(D586*3)</f>
        <v>0</v>
      </c>
      <c r="G586" s="82" t="str">
        <f>(IF($I$89="x","50 %","")&amp;(IF($C$81="x","20 %",""))&amp;(IF($C$82="x","50 %",""&amp;IF($M$91="x","50 % (5 j 20 %)",""&amp;IF($M$115="x","50 % (5 j 20 %)",""&amp;IF($M$120="x","20 %",""))))))</f>
        <v/>
      </c>
      <c r="H586" s="14" t="s">
        <v>220</v>
      </c>
      <c r="I586" s="14" t="s">
        <v>221</v>
      </c>
      <c r="J586" s="14" t="s">
        <v>222</v>
      </c>
      <c r="K586" s="14" t="s">
        <v>223</v>
      </c>
      <c r="AB586" s="59"/>
      <c r="AC586" s="51"/>
      <c r="AD586" s="49"/>
      <c r="AE586" s="51"/>
      <c r="AF586" s="49"/>
      <c r="AG586" s="49"/>
      <c r="AH586" s="49"/>
      <c r="AI586" s="40"/>
      <c r="AJ586" s="40"/>
      <c r="AK586" s="40"/>
      <c r="AL586" s="40"/>
    </row>
    <row r="587" spans="1:38" x14ac:dyDescent="0.2">
      <c r="A587" s="122" t="s">
        <v>332</v>
      </c>
      <c r="B587" s="123">
        <f>IF($I$85="x","PAINISSA",IF(AND($C$90="",$C$118=""),SUM($C$3,$I$2)-$C$120+IF($C$75="x",2)+$I$16-$B$10+$M$94+IF($C$77="x",2)-IF($C$78="x",4)-IF($I$78="x",1)-IF($C$79="x",4)+IF($C$80="x",1)-IF($I$77="x",2)-IF($I$90="x",2)+IF($I$83="x",2)-IF($C$75="x",4)-$C$112+IF(H585="x",1)+I585+$M$77+IF(H587="x",1)+IF(J587="x",1)+IF($M$76="x",2)+J585+IF($M$85="x",1)+IF($M$113="x",1)+IF($M$120="x",2)+IF($M$119="x",2)+IF($M$105="x",1)+IF($M$110="x",1)+IF($M$111="x",2)+IF($M$112="x",4)+IF($M$108="x",1)-IF($M$109="x",1)-IF($M$99="x",1)+IF($M$90="x",1)-IF($C$97="x",2,8),
IF(AND($C$90="x",$C$118=""),SUM($C$3,$I$2)-$C$120+IF($C$75="x",2)+$I$16-$B$10+$M$94+IF($C$77="x",2)-IF($C$78="x",4)-IF($I$78="x",1)-IF($C$79="x",4)+IF($C$80="x",1)-IF($I$77="x",2)-IF($I$90="x",2)+IF($I$83="x",2)-IF($C$83="x",4)-$C$112+IF(H585="x",1)+I585+$M$77+IF(H587="x",1)+IF(J587="x",1)+IF($M$76="x",2)+J585+IF($M$85="x",1)+IF($M$113="x",1)+IF($M$120="x",2)+IF($M$119="x",2)+IF($M$105="x",1)+IF($M$110="x",1)+IF($M$111="x",2)+IF($M$112="x",4)+IF($M$108="x",1)-IF($M$109="x",1)-IF($M$99="x",1)+IF($M$90="x",1)-IF($C$97="x",2,8)
&amp;"/"&amp;SUM($C$3,$I$2)-$C$120+IF($C$75="x",2)+$I$16-$B$10+$M$94+IF($C$77="x",2)-IF($C$78="x",4)-IF($I$78="x",1)-IF($C$79="x",4)+IF($C$80="x",1)-IF($I$77="x",2)-IF($I$90="x",2)+IF($I$83="x",2)-IF($C$83="x",4)-$C$112+IF(H585="x",1)+I585+$M$77+IF(H587="x",1)+IF(J587="x",1)+IF($M$76="x",2)+J585+IF($M$85="x",1)+IF($M$113="x",1)+IF($M$120="x",2)+IF($M$119="x",2)+IF($M$105="x",1)+IF($M$110="x",1)+IF($M$111="x",2)+IF($M$112="x",4)+IF($M$108="x",1)-IF($M$109="x",1)-IF($M$99="x",1)+IF($M$90="x",1)-IF($C$97="x",2,8)-5,
IF(AND($C$90="x",$C$118="x"),SUM($C$3,$I$2)-$C$120+IF($C$75="x",2)+$I$16-$B$10+$M$94+IF($C$77="x",2)-IF($C$78="x",4)-IF($I$78="x",1)-IF($C$79="x",4)+IF($C$80="x",1)-IF($I$77="x",2)-IF($I$90="x",2)+IF($I$83="x",2)-IF($C$83="x",4)-$C$112+IF(H585="x",1)+I585+$M$77+IF(H587="x",1)+IF(J587="x",1)+IF($M$76="x",2)+J585+IF($M$85="x",1)+IF($M$113="x",1)+IF($M$120="x",2)+IF($M$119="x",2)+IF($M$105="x",1)+IF($M$110="x",1)+IF($M$111="x",2)+IF($M$112="x",4)+IF($M$108="x",1)-IF($M$109="x",1)+IF($M$99="x",20)-IF($M$99="x",1)+IF($M$90="x",1)-IF($C$97="x",2,8)
&amp;"/"&amp;SUM($C$3,$I$2)-$C$120+IF($C$75="x",2)+$I$16-$B$10+$M$94+IF($C$77="x",2)-IF($C$78="x",4)-IF($I$78="x",1)-IF($C$79="x",4)+IF($C$80="x",1)-IF($I$77="x",2)-IF($I$90="x",2)+IF($I$83="x",2)-IF($C$83="x",4)-$C$112-5+IF(H585="x",1)+I585+$M$77+IF(H587="x",1)+IF(J587="x",1)+IF($M$76="x",2)+J585+IF($M$85="x",1)+IF($M$113="x",1)+IF($M$120="x",2)+IF($M$119="x",2)+IF($M$105="x",1)+IF($M$110="x",1)+IF($M$111="x",2)+IF($M$112="x",4)+IF($M$108="x",1)-IF($M$109="x",1)-IF($M$99="x",1)+IF($M$90="x",1)-IF($C$97="x",4,10)
&amp;"/"&amp;SUM($C$3,$I$2)-$C$120+IF($C$75="x",2)+$I$16-$B$10+$M$94+IF($C$77="x",2)-IF($C$78="x",4)-IF($I$78="x",1)-IF($C$79="x",4)+IF($C$80="x",1)-IF($I$77="x",2)-IF($I$90="x",2)+IF($I$83="x",2)-IF($C$83="x",4)-$C$112-10+IF(H585="x",1)+I585+$M$77+IF(H587="x",1)+IF(J587="x",1)+IF($M$76="x",2)+J585+IF($M$85="x",1)+IF($M$113="x",1)+IF($M$120="x",2)+IF($M$119="x",2)+IF($M$105="x",1)+IF($M$110="x",1)+IF($M$111="x",2)+IF($M$112="x",4)+IF($M$108="x",1)-IF($M$109="x",1)-IF($M$99="x",1)+IF($M$90="x",1)-IF($C$97="x",2,8)))))</f>
        <v>-8</v>
      </c>
      <c r="C587" s="54" t="str">
        <f>_xlfn.IFS($C$7="Minimaalinen","1",$C$7="Taskukokoinen","1n2",$C$7="Hyvin pieni","1n3",$C$7="Pieni","1n4",$C$7="Keskikokoinen","1n6",$C$7="Iso","1n8",$C$7="Valtava","2n6",$C$7="Suunnaton","3n6",$C$7="Giganttinen","4n6")</f>
        <v>1n6</v>
      </c>
      <c r="D587" s="123">
        <f>INT($I$2/2)+($C$120)+I585+$M$77+IF(I587="x",2)+IF(K587="x",2)+IF($M$119="x",2)+IF($M$108="x",1)+$M$94-IF($M$109="x",1)+K585</f>
        <v>0</v>
      </c>
      <c r="E587" s="54" t="str">
        <f>_xlfn.IFS($C$7="Minimaalinen","3n2",$C$7="Taskukokoinen","3n3",$C$7="Hyvin pieni","3n4",$C$7="Pieni","3n6",$C$7="Keskikokoinen","3n8",$C$7="Iso","6n6",$C$7="Valtava","9n6",$C$7="Suunnaton","12n6",$C$7="Giganttinen","18n6")</f>
        <v>3n8</v>
      </c>
      <c r="F587" s="124">
        <f>SUM(D587*3)</f>
        <v>0</v>
      </c>
      <c r="G587" s="124" t="str">
        <f>(IF($I$89="x","50 %","")&amp;(IF($C$81="x","20 %",""))&amp;(IF($C$82="x","50 %",""&amp;IF($M$91="x","50 % (5 j 20 %)",""&amp;IF($M$115="x","50 % (5 j 20 %)",""&amp;IF($M$120="x","20 %",""))))))</f>
        <v/>
      </c>
      <c r="H587" s="28"/>
      <c r="I587" s="28"/>
      <c r="J587" s="28"/>
      <c r="K587" s="28"/>
      <c r="AB587" s="62"/>
      <c r="AC587" s="53"/>
      <c r="AD587" s="49"/>
      <c r="AE587" s="51"/>
      <c r="AF587" s="49"/>
      <c r="AG587" s="49"/>
      <c r="AH587" s="53"/>
      <c r="AI587" s="48"/>
      <c r="AJ587" s="48"/>
      <c r="AK587" s="48"/>
      <c r="AL587" s="48"/>
    </row>
    <row r="588" spans="1:38" x14ac:dyDescent="0.2">
      <c r="B588" s="15"/>
      <c r="C588" s="15"/>
      <c r="D588" s="15"/>
      <c r="F588" s="15"/>
      <c r="G588" s="15"/>
      <c r="H588" s="15"/>
      <c r="I588" s="15"/>
      <c r="AB588" s="59"/>
      <c r="AC588" s="51"/>
      <c r="AD588" s="49"/>
      <c r="AE588" s="51"/>
      <c r="AF588" s="49"/>
      <c r="AG588" s="49"/>
      <c r="AH588" s="49"/>
      <c r="AI588" s="40"/>
      <c r="AJ588" s="40"/>
      <c r="AK588" s="40"/>
      <c r="AL588" s="40"/>
    </row>
    <row r="589" spans="1:38" x14ac:dyDescent="0.2">
      <c r="B589" s="15"/>
      <c r="C589" s="15"/>
      <c r="D589" s="15"/>
      <c r="F589" s="15"/>
      <c r="G589" s="15"/>
      <c r="H589" s="15"/>
      <c r="I589" s="15"/>
      <c r="AB589" s="62"/>
      <c r="AC589" s="53"/>
      <c r="AD589" s="49"/>
      <c r="AE589" s="51"/>
      <c r="AF589" s="49"/>
      <c r="AG589" s="49"/>
      <c r="AH589" s="54"/>
      <c r="AI589" s="48"/>
      <c r="AJ589" s="48"/>
    </row>
    <row r="590" spans="1:38" x14ac:dyDescent="0.2">
      <c r="A590" s="34" t="s">
        <v>256</v>
      </c>
      <c r="B590" s="11" t="s">
        <v>1</v>
      </c>
      <c r="C590" s="11" t="s">
        <v>2</v>
      </c>
      <c r="D590" s="11" t="s">
        <v>3</v>
      </c>
      <c r="E590" s="11" t="s">
        <v>229</v>
      </c>
      <c r="F590" s="11" t="s">
        <v>3</v>
      </c>
      <c r="G590" s="11" t="s">
        <v>45</v>
      </c>
      <c r="H590" s="14" t="s">
        <v>179</v>
      </c>
      <c r="I590" s="130" t="s">
        <v>242</v>
      </c>
      <c r="J590" s="130" t="s">
        <v>224</v>
      </c>
      <c r="K590" s="130" t="s">
        <v>225</v>
      </c>
      <c r="AB590" s="59"/>
      <c r="AC590" s="51"/>
      <c r="AD590" s="49"/>
      <c r="AE590" s="51"/>
      <c r="AF590" s="49"/>
      <c r="AG590" s="49"/>
      <c r="AH590" s="49"/>
      <c r="AI590" s="40"/>
      <c r="AJ590" s="40"/>
      <c r="AL590" s="50"/>
    </row>
    <row r="591" spans="1:38" x14ac:dyDescent="0.2">
      <c r="A591" s="58" t="s">
        <v>8</v>
      </c>
      <c r="B591" s="119">
        <f>IF($I$85="x","PAINISSA",IF($C$3&lt;=5,SUM($C$3,$I$2)+IF($M$86="x",1)-$C$120+IF($C$75="x",2)+$I$16-$B$10+$M$94+IF($C$77="x",2)-IF($C$78="x",4)-IF($I$78="x",1)-IF($C$79="x",4)+IF($C$80="x",1)-IF($I$77="x",2)-IF($I$90="x",2)+IF($I$83="x",2)-IF($C$75="x",4)-$C$112+IF(H591="x",1)+I591+$M$92+IF(H593="x",1)+IF(J593="x",1)+IF($M$93="x",2)+J591+IF($M$85="x",1)+IF($M$113="x",1)+IF($M$120="x",2)+IF($M$119="x",2)+IF($M$105="x",1)+IF($M$110="x",1)+IF($M$111="x",2)+IF($M$112="x",4)+IF($M$108="x",1)-IF($M$109="x",1)-IF($M$99="x",1)+IF($M$90="x",1),
IF(AND($C$3&gt;5,$C$3&lt;11),SUM($C$3,$I$2)+IF($M$86="x",1)-$C$120+IF($C$75="x",2)+$I$16-$B$10+$M$94+IF($C$77="x",2)-IF($C$78="x",4)-IF($I$78="x",1)-IF($C$79="x",4)+IF($C$80="x",1)-IF($I$77="x",2)-IF($I$90="x",2)+IF($I$83="x",2)-IF($C$83="x",4)-$C$112+IF(H591="x",1)+I591+$M$92+IF(H593="x",1)+IF(J593="x",1)+IF($M$93="x",2)+J591+IF($M$85="x",1)+IF($M$113="x",1)+IF($M$120="x",2)+IF($M$119="x",2)+IF($M$105="x",1)+IF($M$110="x",1)+IF($M$111="x",2)+IF($M$112="x",4)+IF($M$108="x",1)-IF($M$109="x",1)-IF($M$99="x",1)+IF($M$90="x",1)
&amp;"/"&amp;SUM($C$3,$I$2)+IF($M$86="x",1)-$C$120+IF($C$75="x",2)+$I$16-$B$10+$M$94+IF($C$77="x",2)-IF($C$78="x",4)-IF($I$78="x",1)-IF($C$79="x",4)+IF($C$80="x",1)-IF($I$77="x",2)-IF($I$90="x",2)+IF($I$83="x",2)-IF($C$83="x",4)-$C$112-5+IF(H591="x",1)+I591+$M$92+IF(H593="x",1)+IF(J593="x",1)+IF($M$93="x",2)+J591+IF($M$85="x",1)+IF($M$113="x",1)+IF($M$120="x",2)+IF($M$119="x",2)+IF($M$105="x",1)+IF($M$110="x",1)+IF($M$111="x",2)+IF($M$112="x",4)+IF($M$108="x",1)-IF($M$109="x",1)-IF($M$99="x",1)+IF($M$90="x",1),
IF(AND($C$3&gt;10,$C$3&lt;16),SUM($C$3,$I$2)+IF($M$86="x",1)-$C$120+IF($C$75="x",2)+$I$16-$B$10+$M$94+IF($C$77="x",2)-IF($C$78="x",4)-IF($I$78="x",1)-IF($C$79="x",4)+IF($C$80="x",1)-IF($I$77="x",2)-IF($I$90="x",2)+IF($I$83="x",2)-IF($C$83="x",4)-$C$112+I567+$M$77+IF(J569="x",1)+IF($M$76="x",2)+J567+IF($M$85="x",1)+IF($M$113="x",1)+IF($M$120="x",2)+IF($M$119="x",2)+IF($M$105="x",1)+IF($M$110="x",1)+IF($M$111="x",2)+IF($M$112="x",4)+IF($M$108="x",1)-IF($M$109="x",1)+IF($M$99="x",20)-IF($M$99="x",1)+IF($M$90="x",1)
&amp;"/"&amp;SUM($C$3,$I$2)+IF($M$86="x",1)-$C$120+IF($C$75="x",2)+$I$16-$B$10+$M$94+IF($C$77="x",2)-IF($C$78="x",4)-IF($I$78="x",1)-IF($C$79="x",4)+IF($C$80="x",1)-IF($I$77="x",2)-IF($I$90="x",2)+IF($I$83="x",2)-IF($C$83="x",4)-$C$112-5+IF(H591="x",1)+I591+$M$92+IF(H593="x",1)+IF(J593="x",1)+IF($M$93="x",2)+J591+IF($M$85="x",1)+IF($M$113="x",1)+IF($M$120="x",2)+IF($M$119="x",2)+IF($M$105="x",1)+IF($M$110="x",1)+IF($M$111="x",2)+IF($M$112="x",4)+IF($M$108="x",1)-IF($M$109="x",1)-IF($M$99="x",1)+IF($M$90="x",1)
&amp;"/"&amp;SUM($C$3,$I$2)+IF($M$86="x",1)-$C$120+IF($C$75="x",2)+$I$16-$B$10+$M$94+IF($C$77="x",2)-IF($C$78="x",4)-IF($I$78="x",1)-IF($C$79="x",4)+IF($C$80="x",1)-IF($I$77="x",2)-IF($I$90="x",2)+IF($I$83="x",2)-IF($C$83="x",4)-$C$112-10+IF(H591="x",1)+I591+$M$92+IF(H593="x",1)+IF(J593="x",1)+IF($M$93="x",2)+J591+IF($M$85="x",1)+IF($M$113="x",1)+IF($M$120="x",2)+IF($M$119="x",2)+IF($M$105="x",1)+IF($M$110="x",1)+IF($M$111="x",2)+IF($M$112="x",4)+IF($M$108="x",1)-IF($M$109="x",1)-IF($M$99="x",1)+IF($M$90="x",1),
IF(AND($C$3&gt;15),SUM($C$3,$I$2)+IF($M$86="x",1)-$C$120+IF($C$75="x",2)+$I$16-$B$10+$M$94+IF($C$77="x",2)-IF($C$78="x",4)-IF($I$78="x",1)-IF($C$79="x",4)+IF($C$80="x",1)-IF($I$77="x",2)-IF($I$90="x",2)+IF($I$83="x",2)-IF($C$83="x",4)-$C$112+IF(H591="x",1)+I591+$M$92+IF(H593="x",1)+IF(J593="x",1)+IF($M$93="x",2)+J591+IF($M$85="x",1)+IF($M$113="x",1)+IF($M$120="x",2)+IF($M$119="x",2)+IF($M$105="x",1)+IF($M$110="x",1)+IF($M$111="x",2)+IF($M$112="x",4)+IF($M$108="x",1)-IF($M$109="x",1)-IF($M$99="x",1)+IF($M$90="x",1)
&amp;"/"&amp;SUM($C$3,$I$2)+IF($M$86="x",1)-$C$120+IF($C$75="x",2)+$I$16-$B$10+$M$94+IF($C$77="x",2)-IF($C$78="x",4)-IF($I$78="x",1)-IF($C$79="x",4)+IF($C$80="x",1)-IF($I$77="x",2)-IF($I$90="x",2)+IF($I$83="x",2)-IF($C$83="x",4)-$C$112-5+IF(H591="x",1)+I591+$M$92+IF(H593="x",1)+IF(J593="x",1)+IF($M$93="x",2)+J591
+IF($M$85="x",1)+IF($M$113="x",1)+IF($M$120="x",2)+IF($M$119="x",2)+IF($M$105="x",1)+IF($M$110="x",1)+IF($M$111="x",2)+IF($M$112="x",4)+IF($M$108="x",1)-IF($M$109="x",1)-IF($M$99="x",1)+IF($M$90="x",1)
&amp;"/"&amp;SUM($C$3,$I$2)+IF($M$86="x",1)-$C$120+IF($C$75="x",2)+$I$16-$B$10+$M$94+IF($C$77="x",2)-IF($C$78="x",4)-IF($I$78="x",1)-IF($C$79="x",4)+IF($C$80="x",1)-IF($I$77="x",2)-IF($I$90="x",2)+IF($I$83="x",2)-IF($C$83="x",4)-$C$112-10+IF(H591="x",1)+I591+$M$92+IF(H593="x",1)+IF(J593="x",1)+IF($M$93="x",2)+J591+IF($M$85="x",1)+IF($M$113="x",1)+IF($M$120="x",2)+IF($M$119="x",2)+IF($M$105="x",1)+IF($M$110="x",1)+IF($M$111="x",2)+IF($M$112="x",4)+IF($M$108="x",1)-IF($M$109="x",1)-IF($M$99="x",1)+IF($M$90="x",1)
&amp;"/"&amp;SUM($C$3,$I$2)+IF($M$86="x",1)-$C$120+IF($C$75="x",2)+$I$16-$B$10+$M$94+IF($C$77="x",2)-IF($C$78="x",4)-IF($I$78="x",1)-IF($C$79="x",4)+IF($C$80="x",1)-IF($I$77="x",2)-IF($I$90="x",2)+IF($I$83="x",2)-IF($C$83="x",4)-$C$112-15+IF(H591="x",1)+I591+$M$92+IF(H593="x",1)+IF(J593="x",1)+IF($M$93="x",2)+J591+IF($M$85="x",1)+IF($M$113="x",1)+IF($M$120="x",2)+IF($M$119="x",2)+IF($M$105="x",1)+IF($M$110="x",1)+IF($M$111="x",2)+IF($M$112="x",4)+IF($M$108="x",1)-IF($M$109="x",1)-IF($M$99="x",1)+IF($M$90="x",1))))))</f>
        <v>0</v>
      </c>
      <c r="C591" s="114" t="str">
        <f>IF(AND($M$86="x",$C$7="Minimaalinen"),"1n3",
IF(AND($M$86="x",$C$7="Taskukokoinen"),"1n4",
IF(AND($M$86="x",$C$7="Hyvin pieni"),"1n6",
IF(AND($M$86="x",$C$7="Pieni"),"1n8",
IF(AND($M$86="x",$C$7="Keskikokoinen"),"2n6",
IF(AND($M$86="x",$C$7="Iso"),"3n6",
IF(AND($M$86="x",$C$7="Valtava"),"4n6",
IF(AND($M$86="x",$C$7="Suunnaton"),"4n6",
IF(AND($M$86="x",$C$7="Giganttinen"),"4n6",
IF(AND($M$86="",$C$7="Minimaalinen"),"1",
IF(AND($M$86="",$C$7="Taskukokoinen"),"1n2",
IF(AND($M$86="",$C$7="Hyvin pieni"),"1n3",
IF(AND($M$86="",$C$7="Pieni"),"1n4",
IF(AND($M$86="",$C$7="Keskikokoinen"),"1n6",
IF(AND($M$86="",$C$7="Iso"),"1n8",
IF(AND($M$86="",$C$7="Valtava"),"2n6",
IF(AND($M$86="",$C$7="Suunnaton"),"3n6",
IF(AND($M$86="",$C$7="Giganttinen"),"4n6"))))))))))))))))))</f>
        <v>1n6</v>
      </c>
      <c r="D591" s="119">
        <f>IF($I$2&lt;0,$I$2,INT($I$2*1.5))+($C$120*2)+I591+$M$77+IF(I593="x",2)+IF(K593="x",2)+IF($M$119="x",2)+IF($M$108="x",1)+$M$94-IF($M$109="x",1)+K591+IF($M$86="x",1)</f>
        <v>0</v>
      </c>
      <c r="E591" s="114" t="str">
        <f>IF(AND($M$86="x",$C$7="Minimaalinen"),"2n3",
IF(AND($M$86="x",$C$7="Taskukokoinen"),"2n4",
IF(AND($M$86="x",$C$7="Hyvin pieni"),"2n6",
IF(AND($M$86="x",$C$7="Pieni"),"2n8",
IF(AND($M$86="x",$C$7="Keskikokoinen"),"4n6",
IF(AND($M$86="x",$C$7="Iso"),"6n6",
IF(AND($M$86="x",$C$7="Valtava"),"4n6",
IF(AND($M$86="x",$C$7="Suunnaton"),"8n6",
IF(AND($M$86="x",$C$7="Giganttinen"),"12n6",
IF(AND($M$86="",$C$7="Minimaalinen"),"2",
IF(AND($M$86="",$C$7="Taskukokoinen"),"2n2",
IF(AND($M$86="",$C$7="Hyvin pieni"),"2n3",
IF(AND($M$86="",$C$7="Pieni"),"2n4",
IF(AND($M$86="",$C$7="Keskikokoinen"),"2n6",
IF(AND($M$86="",$C$7="Iso"),"2n8",
IF(AND($M$86="",$C$7="Valtava"),"4n6",
IF(AND($M$86="",$C$7="Suunnaton"),"6n6",
IF(AND($M$86="",$C$7="Giganttinen"),"8n6"))))))))))))))))))</f>
        <v>2n6</v>
      </c>
      <c r="F591" s="120">
        <f>SUM(D591*2)</f>
        <v>0</v>
      </c>
      <c r="G591" s="120" t="str">
        <f>(IF($I$89="x","50 %","")&amp;(IF($C$81="x","20 %",""))&amp;(IF($C$82="x","50 %",""&amp;IF($M$91="x","50 % (5 j 20 %)",""&amp;IF($M$115="x","50 % (5 j 20 %)",""&amp;IF($M$120="x","20 %",""))))))</f>
        <v/>
      </c>
      <c r="H591" s="28"/>
      <c r="I591" s="17">
        <v>0</v>
      </c>
      <c r="J591" s="17">
        <v>0</v>
      </c>
      <c r="K591" s="17">
        <v>0</v>
      </c>
    </row>
    <row r="592" spans="1:38" x14ac:dyDescent="0.2">
      <c r="A592" s="25" t="s">
        <v>327</v>
      </c>
      <c r="B592" s="121">
        <f>IF($I$85="x","PAINISSA",IF($C$3&lt;=5,SUM($C$3,$I$2)+IF($M$86="x",1)-$C$120+IF($C$75="x",2)+$I$16-$B$10+$M$94+IF($C$77="x",2)-IF($C$78="x",4)-IF($I$78="x",1)-IF($C$79="x",4)+IF($C$80="x",1)-IF($I$77="x",2)-IF($I$90="x",2)+IF($I$83="x",2)-IF($C$75="x",4)-$C$112+IF(H591="x",1)+I591+$M$92+IF(H593="x",1)+IF(J593="x",1)+IF($M$93="x",2)+J591+IF($M$85="x",1)+IF($M$113="x",1)+IF($M$120="x",2)+IF($M$119="x",2)+IF($M$105="x",1)+IF($M$110="x",1)+IF($M$111="x",2)+IF($M$112="x",4)+IF($M$108="x",1)-IF($M$109="x",1)-IF($M$99="x",1)+IF($M$90="x",1)-IF($C$97="x",2,4),
IF(AND($C$3&gt;5,$C$3&lt;11),SUM($C$3,$I$2)+IF($M$86="x",1)-$C$120+IF($C$75="x",2)+$I$16-$B$10+$M$94+IF($C$77="x",2)-IF($C$78="x",4)-IF($I$78="x",1)-IF($C$79="x",4)+IF($C$80="x",1)-IF($I$77="x",2)-IF($I$90="x",2)+IF($I$83="x",2)-IF($C$83="x",4)-$C$112+IF(H591="x",1)+I591+$M$92+IF(H593="x",1)+IF(J593="x",1)+IF($M$93="x",2)+J591+IF($M$85="x",1)+IF($M$113="x",1)+IF($M$120="x",2)+IF($M$119="x",2)+IF($M$105="x",1)+IF($M$110="x",1)+IF($M$111="x",2)+IF($M$112="x",4)+IF($M$108="x",1)-IF($M$109="x",1)-IF($M$99="x",1)+IF($M$90="x",1)-IF($C$97="x",2,4)
&amp;"/"&amp;SUM($C$3,$I$2)+IF($M$86="x",1)-$C$120+IF($C$75="x",2)+$I$16-$B$10+$M$94+IF($C$77="x",2)-IF($C$78="x",4)-IF($I$78="x",1)-IF($C$79="x",4)+IF($C$80="x",1)-IF($I$77="x",2)-IF($I$90="x",2)+IF($I$83="x",2)-IF($C$83="x",4)-$C$112-5+IF(H591="x",1)+I591+$M$92+IF(H593="x",1)+IF(J593="x",1)+IF($M$93="x",2)+J591+IF($M$85="x",1)+IF($M$113="x",1)+IF($M$120="x",2)+IF($M$119="x",2)+IF($M$105="x",1)+IF($M$110="x",1)+IF($M$111="x",2)+IF($M$112="x",4)+IF($M$108="x",1)-IF($M$109="x",1)-IF($M$99="x",1)+IF($M$90="x",1)-IF($C$97="x",2,4),
IF(AND($C$3&gt;10,$C$3&lt;16),SUM($C$3,$I$2)+IF($M$86="x",1)-$C$120+IF($C$75="x",2)+$I$16-$B$10+$M$94+IF($C$77="x",2)-IF($C$78="x",4)-IF($I$78="x",1)-IF($C$79="x",4)+IF($C$80="x",1)-IF($I$77="x",2)-IF($I$90="x",2)+IF($I$83="x",2)-IF($C$83="x",4)-$C$112+I567+$M$77+IF(J569="x",1)+IF($M$76="x",2)+J567+IF($M$85="x",1)+IF($M$113="x",1)+IF($M$120="x",2)+IF($M$119="x",2)+IF($M$105="x",1)+IF($M$110="x",1)+IF($M$111="x",2)+IF($M$112="x",4)+IF($M$108="x",1)-IF($M$109="x",1)+IF($M$99="x",20)-IF($M$99="x",1)+IF($M$90="x",1)-IF($C$97="x",2,4)
&amp;"/"&amp;SUM($C$3,$I$2)+IF($M$86="x",1)-$C$120+IF($C$75="x",2)+$I$16-$B$10+$M$94+IF($C$77="x",2)-IF($C$78="x",4)-IF($I$78="x",1)-IF($C$79="x",4)+IF($C$80="x",1)-IF($I$77="x",2)-IF($I$90="x",2)+IF($I$83="x",2)-IF($C$83="x",4)-$C$112-5+IF(H591="x",1)+I591+$M$92+IF(H593="x",1)+IF(J593="x",1)+IF($M$93="x",2)+J591+IF($M$85="x",1)+IF($M$113="x",1)+IF($M$120="x",2)+IF($M$119="x",2)+IF($M$105="x",1)+IF($M$110="x",1)+IF($M$111="x",2)+IF($M$112="x",4)+IF($M$108="x",1)-IF($M$109="x",1)-IF($M$99="x",1)+IF($M$90="x",1)-IF($C$97="x",2,4)
&amp;"/"&amp;SUM($C$3,$I$2)+IF($M$86="x",1)-$C$120+IF($C$75="x",2)+$I$16-$B$10+$M$94+IF($C$77="x",2)-IF($C$78="x",4)-IF($I$78="x",1)-IF($C$79="x",4)+IF($C$80="x",1)-IF($I$77="x",2)-IF($I$90="x",2)+IF($I$83="x",2)-IF($C$83="x",4)-$C$112-10+IF(H591="x",1)+I591+$M$92+IF(H593="x",1)+IF(J593="x",1)+IF($M$93="x",2)+J591+IF($M$85="x",1)+IF($M$113="x",1)+IF($M$120="x",2)+IF($M$119="x",2)+IF($M$105="x",1)+IF($M$110="x",1)+IF($M$111="x",2)+IF($M$112="x",4)+IF($M$108="x",1)-IF($M$109="x",1)-IF($M$99="x",1)+IF($M$90="x",1)-IF($C$97="x",2,4),
IF(AND($C$3&gt;15),SUM($C$3,$I$2)+IF($M$86="x",1)-$C$120+IF($C$75="x",2)+$I$16-$B$10+$M$94+IF($C$77="x",2)-IF($C$78="x",4)-IF($I$78="x",1)-IF($C$79="x",4)+IF($C$80="x",1)-IF($I$77="x",2)-IF($I$90="x",2)+IF($I$83="x",2)-IF($C$83="x",4)-$C$112+IF(H591="x",1)+I591+$M$92+IF(H593="x",1)+IF(J593="x",1)+IF($M$93="x",2)+J591+IF($M$85="x",1)+IF($M$113="x",1)+IF($M$120="x",2)+IF($M$119="x",2)+IF($M$105="x",1)+IF($M$110="x",1)+IF($M$111="x",2)+IF($M$112="x",4)+IF($M$108="x",1)-IF($M$109="x",1)-IF($M$99="x",1)+IF($M$90="x",1)-IF($C$97="x",2,4)
&amp;"/"&amp;SUM($C$3,$I$2)+IF($M$86="x",1)-$C$120+IF($C$75="x",2)+$I$16-$B$10+$M$94+IF($C$77="x",2)-IF($C$78="x",4)-IF($I$78="x",1)-IF($C$79="x",4)+IF($C$80="x",1)-IF($I$77="x",2)-IF($I$90="x",2)+IF($I$83="x",2)-IF($C$83="x",4)-$C$112-5+IF(H591="x",1)+I591+$M$92+IF(H593="x",1)+IF(J593="x",1)+IF($M$93="x",2)+J591
+IF($M$85="x",1)+IF($M$113="x",1)+IF($M$120="x",2)+IF($M$119="x",2)+IF($M$105="x",1)+IF($M$110="x",1)+IF($M$111="x",2)+IF($M$112="x",4)+IF($M$108="x",1)-IF($M$109="x",1)-IF($M$99="x",1)+IF($M$90="x",1)-IF($C$97="x",2,4)
&amp;"/"&amp;SUM($C$3,$I$2)+IF($M$86="x",1)-$C$120+IF($C$75="x",2)+$I$16-$B$10+$M$94+IF($C$77="x",2)-IF($C$78="x",4)-IF($I$78="x",1)-IF($C$79="x",4)+IF($C$80="x",1)-IF($I$77="x",2)-IF($I$90="x",2)+IF($I$83="x",2)-IF($C$83="x",4)-$C$112-10+IF(H591="x",1)+I591+$M$92+IF(H593="x",1)+IF(J593="x",1)+IF($M$93="x",2)+J591+IF($M$85="x",1)+IF($M$113="x",1)+IF($M$120="x",2)+IF($M$119="x",2)+IF($M$105="x",1)+IF($M$110="x",1)+IF($M$111="x",2)+IF($M$112="x",4)+IF($M$108="x",1)-IF($M$109="x",1)-IF($M$99="x",1)+IF($M$90="x",1)-IF($C$97="x",2,4)
&amp;"/"&amp;SUM($C$3,$I$2)+IF($M$86="x",1)-$C$120+IF($C$75="x",2)+$I$16-$B$10+$M$94+IF($C$77="x",2)-IF($C$78="x",4)-IF($I$78="x",1)-IF($C$79="x",4)+IF($C$80="x",1)-IF($I$77="x",2)-IF($I$90="x",2)+IF($I$83="x",2)-IF($C$83="x",4)-$C$112-15+IF(H591="x",1)+I591+$M$92+IF(H593="x",1)+IF(J593="x",1)+IF($M$93="x",2)+J591+IF($M$85="x",1)+IF($M$113="x",1)+IF($M$120="x",2)+IF($M$119="x",2)+IF($M$105="x",1)+IF($M$110="x",1)+IF($M$111="x",2)+IF($M$112="x",4)+IF($M$108="x",1)-IF($M$109="x",1)-IF($M$99="x",1)+IF($M$90="x",1)-IF($C$97="x",2,4))))))</f>
        <v>-4</v>
      </c>
      <c r="C592" s="49" t="str">
        <f>IF(AND($M$86="x",$C$7="Minimaalinen"),"1n3",
IF(AND($M$86="x",$C$7="Taskukokoinen"),"1n4",
IF(AND($M$86="x",$C$7="Hyvin pieni"),"1n6",
IF(AND($M$86="x",$C$7="Pieni"),"1n8",
IF(AND($M$86="x",$C$7="Keskikokoinen"),"2n6",
IF(AND($M$86="x",$C$7="Iso"),"3n6",
IF(AND($M$86="x",$C$7="Valtava"),"4n6",
IF(AND($M$86="x",$C$7="Suunnaton"),"4n6",
IF(AND($M$86="x",$C$7="Giganttinen"),"4n6",
IF(AND($M$86="",$C$7="Minimaalinen"),"1",
IF(AND($M$86="",$C$7="Taskukokoinen"),"1n2",
IF(AND($M$86="",$C$7="Hyvin pieni"),"1n3",
IF(AND($M$86="",$C$7="Pieni"),"1n4",
IF(AND($M$86="",$C$7="Keskikokoinen"),"1n6",
IF(AND($M$86="",$C$7="Iso"),"1n8",
IF(AND($M$86="",$C$7="Valtava"),"2n6",
IF(AND($M$86="",$C$7="Suunnaton"),"3n6",
IF(AND($M$86="",$C$7="Giganttinen"),"4n6"))))))))))))))))))</f>
        <v>1n6</v>
      </c>
      <c r="D592" s="121">
        <f>SUM($I$2+$C$120)+I591+$M$77+IF(I593="x",2)+IF(K593="x",2)+IF($M$119="x",2)+IF($M$108="x",1)+$M$94-IF($M$109="x",1)+K591+IF($M$86="x",1)</f>
        <v>0</v>
      </c>
      <c r="E592" s="49" t="str">
        <f>IF(AND($M$86="x",$C$7="Minimaalinen"),"2n3",
IF(AND($M$86="x",$C$7="Taskukokoinen"),"2n4",
IF(AND($M$86="x",$C$7="Hyvin pieni"),"2n6",
IF(AND($M$86="x",$C$7="Pieni"),"2n8",
IF(AND($M$86="x",$C$7="Keskikokoinen"),"4n6",
IF(AND($M$86="x",$C$7="Iso"),"6n6",
IF(AND($M$86="x",$C$7="Valtava"),"4n6",
IF(AND($M$86="x",$C$7="Suunnaton"),"8n6",
IF(AND($M$86="x",$C$7="Giganttinen"),"12n6",
IF(AND($M$86="",$C$7="Minimaalinen"),"2",
IF(AND($M$86="",$C$7="Taskukokoinen"),"2n2",
IF(AND($M$86="",$C$7="Hyvin pieni"),"2n3",
IF(AND($M$86="",$C$7="Pieni"),"2n4",
IF(AND($M$86="",$C$7="Keskikokoinen"),"2n6",
IF(AND($M$86="",$C$7="Iso"),"2n8",
IF(AND($M$86="",$C$7="Valtava"),"4n6",
IF(AND($M$86="",$C$7="Suunnaton"),"6n6",
IF(AND($M$86="",$C$7="Giganttinen"),"8n6"))))))))))))))))))</f>
        <v>2n6</v>
      </c>
      <c r="F592" s="82">
        <f>SUM(D592*2)</f>
        <v>0</v>
      </c>
      <c r="G592" s="82" t="str">
        <f>(IF($I$89="x","50 %","")&amp;(IF($C$81="x","20 %",""))&amp;(IF($C$82="x","50 %",""&amp;IF($M$91="x","50 % (5 j 20 %)",""&amp;IF($M$115="x","50 % (5 j 20 %)",""&amp;IF($M$120="x","20 %",""))))))</f>
        <v/>
      </c>
      <c r="H592" s="14" t="s">
        <v>220</v>
      </c>
      <c r="I592" s="14" t="s">
        <v>221</v>
      </c>
      <c r="J592" s="14" t="s">
        <v>222</v>
      </c>
      <c r="K592" s="14" t="s">
        <v>223</v>
      </c>
    </row>
    <row r="593" spans="1:38" x14ac:dyDescent="0.2">
      <c r="A593" s="122" t="s">
        <v>330</v>
      </c>
      <c r="B593" s="123">
        <f>IF($I$85="x","PAINISSA",IF(AND($C$90="",$C$118=""),SUM($C$3,$I$2)-$C$120+IF($C$75="x",2)+$I$16-$B$10+$M$94+IF($C$77="x",2)-IF($C$78="x",4)-IF($I$78="x",1)-IF($C$79="x",4)+IF($C$80="x",1)-IF($I$77="x",2)-IF($I$90="x",2)+IF($I$83="x",2)-IF($C$75="x",4)-$C$112+IF(H591="x",1)+I591+$M$77+IF(H593="x",1)+IF(J593="x",1)+IF($M$76="x",2)+J591+IF($M$85="x",1)+IF($M$113="x",1)+IF($M$120="x",2)+IF($M$119="x",2)+IF($M$105="x",1)+IF($M$110="x",1)+IF($M$111="x",2)+IF($M$112="x",4)+IF($M$108="x",1)-IF($M$109="x",1)-IF($M$99="x",1)+IF($M$90="x",1)-IF($C$97="x",2,8),
IF(AND($C$90="x",$C$118=""),SUM($C$3,$I$2)-$C$120+IF($C$75="x",2)+$I$16-$B$10+$M$94+IF($C$77="x",2)-IF($C$78="x",4)-IF($I$78="x",1)-IF($C$79="x",4)+IF($C$80="x",1)-IF($I$77="x",2)-IF($I$90="x",2)+IF($I$83="x",2)-IF($C$83="x",4)-$C$112+IF(H591="x",1)+I591+$M$77+IF(H593="x",1)+IF(J593="x",1)+IF($M$76="x",2)+J591+IF($M$85="x",1)+IF($M$113="x",1)+IF($M$120="x",2)+IF($M$119="x",2)+IF($M$105="x",1)+IF($M$110="x",1)+IF($M$111="x",2)+IF($M$112="x",4)+IF($M$108="x",1)-IF($M$109="x",1)-IF($M$99="x",1)+IF($M$90="x",1)-IF($C$97="x",2,8)
&amp;"/"&amp;SUM($C$3,$I$2)-$C$120+IF($C$75="x",2)+$I$16-$B$10+$M$94+IF($C$77="x",2)-IF($C$78="x",4)-IF($I$78="x",1)-IF($C$79="x",4)+IF($C$80="x",1)-IF($I$77="x",2)-IF($I$90="x",2)+IF($I$83="x",2)-IF($C$83="x",4)-$C$112+IF(H591="x",1)+I591+$M$77+IF(H593="x",1)+IF(J593="x",1)+IF($M$76="x",2)+J591+IF($M$85="x",1)+IF($M$113="x",1)+IF($M$120="x",2)+IF($M$119="x",2)+IF($M$105="x",1)+IF($M$110="x",1)+IF($M$111="x",2)+IF($M$112="x",4)+IF($M$108="x",1)-IF($M$109="x",1)-IF($M$99="x",1)+IF($M$90="x",1)-IF($C$97="x",2,8)-5,
IF(AND($C$90="x",$C$118="x"),SUM($C$3,$I$2)-$C$120+IF($C$75="x",2)+$I$16-$B$10+$M$94+IF($C$77="x",2)-IF($C$78="x",4)-IF($I$78="x",1)-IF($C$79="x",4)+IF($C$80="x",1)-IF($I$77="x",2)-IF($I$90="x",2)+IF($I$83="x",2)-IF($C$83="x",4)-$C$112+IF(H591="x",1)+I591+$M$77+IF(H593="x",1)+IF(J593="x",1)+IF($M$76="x",2)+J591+IF($M$85="x",1)+IF($M$113="x",1)+IF($M$120="x",2)+IF($M$119="x",2)+IF($M$105="x",1)+IF($M$110="x",1)+IF($M$111="x",2)+IF($M$112="x",4)+IF($M$108="x",1)-IF($M$109="x",1)+IF($M$99="x",20)-IF($M$99="x",1)+IF($M$90="x",1)-IF($C$97="x",2,8)
&amp;"/"&amp;SUM($C$3,$I$2)-$C$120+IF($C$75="x",2)+$I$16-$B$10+$M$94+IF($C$77="x",2)-IF($C$78="x",4)-IF($I$78="x",1)-IF($C$79="x",4)+IF($C$80="x",1)-IF($I$77="x",2)-IF($I$90="x",2)+IF($I$83="x",2)-IF($C$83="x",4)-$C$112-5+IF(H591="x",1)+I591+$M$77+IF(H593="x",1)+IF(J593="x",1)+IF($M$76="x",2)+J591+IF($M$85="x",1)+IF($M$113="x",1)+IF($M$120="x",2)+IF($M$119="x",2)+IF($M$105="x",1)+IF($M$110="x",1)+IF($M$111="x",2)+IF($M$112="x",4)+IF($M$108="x",1)-IF($M$109="x",1)-IF($M$99="x",1)+IF($M$90="x",1)-IF($C$97="x",4,10)
&amp;"/"&amp;SUM($C$3,$I$2)-$C$120+IF($C$75="x",2)+$I$16-$B$10+$M$94+IF($C$77="x",2)-IF($C$78="x",4)-IF($I$78="x",1)-IF($C$79="x",4)+IF($C$80="x",1)-IF($I$77="x",2)-IF($I$90="x",2)+IF($I$83="x",2)-IF($C$83="x",4)-$C$112-10+IF(H591="x",1)+I591+$M$77+IF(H593="x",1)+IF(J593="x",1)+IF($M$76="x",2)+J591+IF($M$85="x",1)+IF($M$113="x",1)+IF($M$120="x",2)+IF($M$119="x",2)+IF($M$105="x",1)+IF($M$110="x",1)+IF($M$111="x",2)+IF($M$112="x",4)+IF($M$108="x",1)-IF($M$109="x",1)-IF($M$99="x",1)+IF($M$90="x",1)-IF($C$97="x",2,8)))))</f>
        <v>-8</v>
      </c>
      <c r="C593" s="54" t="str">
        <f>IF(AND($M$86="x",$C$7="Minimaalinen"),"1n3",
IF(AND($M$86="x",$C$7="Taskukokoinen"),"1n4",
IF(AND($M$86="x",$C$7="Hyvin pieni"),"1n6",
IF(AND($M$86="x",$C$7="Pieni"),"1n8",
IF(AND($M$86="x",$C$7="Keskikokoinen"),"2n6",
IF(AND($M$86="x",$C$7="Iso"),"3n6",
IF(AND($M$86="x",$C$7="Valtava"),"4n6",
IF(AND($M$86="x",$C$7="Suunnaton"),"4n6",
IF(AND($M$86="x",$C$7="Giganttinen"),"4n6",
IF(AND($M$86="",$C$7="Minimaalinen"),"1",
IF(AND($M$86="",$C$7="Taskukokoinen"),"1n2",
IF(AND($M$86="",$C$7="Hyvin pieni"),"1n3",
IF(AND($M$86="",$C$7="Pieni"),"1n4",
IF(AND($M$86="",$C$7="Keskikokoinen"),"1n6",
IF(AND($M$86="",$C$7="Iso"),"1n8",
IF(AND($M$86="",$C$7="Valtava"),"2n6",
IF(AND($M$86="",$C$7="Suunnaton"),"3n6",
IF(AND($M$86="",$C$7="Giganttinen"),"4n6"))))))))))))))))))</f>
        <v>1n6</v>
      </c>
      <c r="D593" s="123">
        <f>INT($I$2/2)+($C$120)+I591+$M$77+IF(I593="x",2)+IF(K593="x",2)+IF($M$119="x",2)+IF($M$108="x",1)+$M$94-IF($M$109="x",1)+K591+IF($M$86="x",1)</f>
        <v>0</v>
      </c>
      <c r="E593" s="54" t="str">
        <f>IF(AND($M$86="x",$C$7="Minimaalinen"),"2n3",
IF(AND($M$86="x",$C$7="Taskukokoinen"),"2n4",
IF(AND($M$86="x",$C$7="Hyvin pieni"),"2n6",
IF(AND($M$86="x",$C$7="Pieni"),"2n8",
IF(AND($M$86="x",$C$7="Keskikokoinen"),"4n6",
IF(AND($M$86="x",$C$7="Iso"),"6n6",
IF(AND($M$86="x",$C$7="Valtava"),"4n6",
IF(AND($M$86="x",$C$7="Suunnaton"),"8n6",
IF(AND($M$86="x",$C$7="Giganttinen"),"12n6",
IF(AND($M$86="",$C$7="Minimaalinen"),"2",
IF(AND($M$86="",$C$7="Taskukokoinen"),"2n2",
IF(AND($M$86="",$C$7="Hyvin pieni"),"2n3",
IF(AND($M$86="",$C$7="Pieni"),"2n4",
IF(AND($M$86="",$C$7="Keskikokoinen"),"2n6",
IF(AND($M$86="",$C$7="Iso"),"2n8",
IF(AND($M$86="",$C$7="Valtava"),"4n6",
IF(AND($M$86="",$C$7="Suunnaton"),"6n6",
IF(AND($M$86="",$C$7="Giganttinen"),"8n6"))))))))))))))))))</f>
        <v>2n6</v>
      </c>
      <c r="F593" s="124">
        <f>SUM(D593*2)</f>
        <v>0</v>
      </c>
      <c r="G593" s="124" t="str">
        <f>(IF($I$89="x","50 %","")&amp;(IF($C$81="x","20 %",""))&amp;(IF($C$82="x","50 %",""&amp;IF($M$91="x","50 % (5 j 20 %)",""&amp;IF($M$115="x","50 % (5 j 20 %)",""&amp;IF($M$120="x","20 %",""))))))</f>
        <v/>
      </c>
      <c r="H593" s="28"/>
      <c r="I593" s="28"/>
      <c r="J593" s="28"/>
      <c r="K593" s="28"/>
      <c r="AB593" s="46"/>
      <c r="AC593" s="48"/>
      <c r="AD593" s="48"/>
      <c r="AE593" s="48"/>
      <c r="AF593" s="48"/>
      <c r="AG593" s="48"/>
      <c r="AH593" s="48"/>
      <c r="AI593" s="48"/>
      <c r="AJ593" s="48"/>
      <c r="AK593" s="48"/>
      <c r="AL593" s="48"/>
    </row>
    <row r="594" spans="1:38" x14ac:dyDescent="0.2">
      <c r="B594" s="15"/>
      <c r="C594" s="15"/>
      <c r="D594" s="15"/>
      <c r="F594" s="15"/>
      <c r="G594" s="15"/>
      <c r="H594" s="15"/>
      <c r="I594" s="15"/>
      <c r="AB594" s="59"/>
      <c r="AC594" s="51"/>
      <c r="AD594" s="49"/>
      <c r="AE594" s="51"/>
      <c r="AF594" s="49"/>
      <c r="AG594" s="49"/>
      <c r="AH594" s="49"/>
      <c r="AI594" s="40"/>
      <c r="AJ594" s="40"/>
      <c r="AK594" s="40"/>
      <c r="AL594" s="40"/>
    </row>
    <row r="595" spans="1:38" x14ac:dyDescent="0.2">
      <c r="B595" s="15"/>
      <c r="C595" s="15"/>
      <c r="D595" s="15"/>
      <c r="F595" s="15"/>
      <c r="G595" s="15"/>
      <c r="H595" s="15"/>
      <c r="I595" s="15"/>
      <c r="AB595" s="62"/>
      <c r="AC595" s="53"/>
      <c r="AD595" s="49"/>
      <c r="AE595" s="51"/>
      <c r="AF595" s="49"/>
      <c r="AG595" s="49"/>
      <c r="AH595" s="53"/>
      <c r="AI595" s="48"/>
      <c r="AJ595" s="48"/>
      <c r="AK595" s="48"/>
      <c r="AL595" s="48"/>
    </row>
    <row r="596" spans="1:38" x14ac:dyDescent="0.2">
      <c r="A596" s="34" t="s">
        <v>257</v>
      </c>
      <c r="B596" s="11" t="s">
        <v>1</v>
      </c>
      <c r="C596" s="11" t="s">
        <v>2</v>
      </c>
      <c r="D596" s="11" t="s">
        <v>3</v>
      </c>
      <c r="E596" s="11" t="s">
        <v>229</v>
      </c>
      <c r="F596" s="11" t="s">
        <v>3</v>
      </c>
      <c r="G596" s="11" t="s">
        <v>45</v>
      </c>
      <c r="H596" s="14" t="s">
        <v>179</v>
      </c>
      <c r="I596" s="130" t="s">
        <v>242</v>
      </c>
      <c r="J596" s="130" t="s">
        <v>224</v>
      </c>
      <c r="K596" s="130" t="s">
        <v>225</v>
      </c>
      <c r="AB596" s="59"/>
      <c r="AC596" s="51"/>
      <c r="AD596" s="49"/>
      <c r="AE596" s="51"/>
      <c r="AF596" s="49"/>
      <c r="AG596" s="49"/>
      <c r="AH596" s="49"/>
      <c r="AI596" s="40"/>
      <c r="AJ596" s="40"/>
      <c r="AK596" s="40"/>
      <c r="AL596" s="40"/>
    </row>
    <row r="597" spans="1:38" x14ac:dyDescent="0.2">
      <c r="A597" s="58" t="s">
        <v>8</v>
      </c>
      <c r="B597" s="119">
        <f>IF($I$85="x","PAINISSA",IF($C$3&lt;=5,SUM($C$3,$I$2)-$C$120+IF($C$75="x",2)+$I$16-$B$10+$M$94+IF($C$77="x",2)-IF($C$78="x",4)-IF($I$78="x",1)-IF($C$79="x",4)+IF($C$80="x",1)-IF($I$77="x",2)-IF($I$90="x",2)+IF($I$83="x",2)-IF($C$75="x",4)-$C$112+IF(H597="x",1)+I597+$M$77+IF(H599="x",1)+IF(J599="x",1)+IF($M$76="x",2)+J597+IF($M$85="x",1)+IF($M$113="x",1)+IF($M$120="x",2)+IF($M$119="x",2)+IF($M$105="x",1)+IF($M$110="x",1)+IF($M$111="x",2)+IF($M$112="x",4)+IF($M$108="x",1)-IF($M$109="x",1)-IF($M$99="x",1)+IF($M$90="x",1),
IF(AND($C$3&gt;5,$C$3&lt;11),SUM($C$3,$I$2)-$C$120+IF($C$75="x",2)+$I$16-$B$10+$M$94+IF($C$77="x",2)-IF($C$78="x",4)-IF($I$78="x",1)-IF($C$79="x",4)+IF($C$80="x",1)-IF($I$77="x",2)-IF($I$90="x",2)+IF($I$83="x",2)-IF($C$83="x",4)-$C$112+IF(H597="x",1)+I597+$M$77+IF(H599="x",1)+IF(J599="x",1)+IF($M$76="x",2)+J597+IF($M$85="x",1)+IF($M$113="x",1)+IF($M$120="x",2)+IF($M$119="x",2)+IF($M$105="x",1)+IF($M$110="x",1)+IF($M$111="x",2)+IF($M$112="x",4)+IF($M$108="x",1)-IF($M$109="x",1)-IF($M$99="x",1)+IF($M$90="x",1)
&amp;"/"&amp;SUM($C$3,$I$2)-$C$120+IF($C$75="x",2)+$I$16-$B$10+$M$94+IF($C$77="x",2)-IF($C$78="x",4)-IF($I$78="x",1)-IF($C$79="x",4)+IF($C$80="x",1)-IF($I$77="x",2)-IF($I$90="x",2)+IF($I$83="x",2)-IF($C$83="x",4)-$C$112-5+IF(H597="x",1)+I597+$M$77+IF(H599="x",1)+IF(J599="x",1)+IF($M$76="x",2)+J597+IF($M$85="x",1)+IF($M$113="x",1)+IF($M$120="x",2)+IF($M$119="x",2)+IF($M$105="x",1)+IF($M$110="x",1)+IF($M$111="x",2)+IF($M$112="x",4)+IF($M$108="x",1)-IF($M$109="x",1)-IF($M$99="x",1)+IF($M$90="x",1),
IF(AND($C$3&gt;10,$C$3&lt;16),SUM($C$3,$I$2)-$C$120+IF($C$75="x",2)+$I$16-$B$10+$M$94+IF($C$77="x",2)-IF($C$78="x",4)-IF($I$78="x",1)-IF($C$79="x",4)+IF($C$80="x",1)-IF($I$77="x",2)-IF($I$90="x",2)+IF($I$83="x",2)-IF($C$83="x",4)-$C$112+I567+$M$77+IF(J569="x",1)+IF($M$76="x",2)+J567+IF($M$85="x",1)+IF($M$113="x",1)+IF($M$120="x",2)+IF($M$119="x",2)+IF($M$105="x",1)+IF($M$110="x",1)+IF($M$111="x",2)+IF($M$112="x",4)+IF($M$108="x",1)-IF($M$109="x",1)+IF($M$99="x",20)-IF($M$99="x",1)+IF($M$90="x",1)
&amp;"/"&amp;SUM($C$3,$I$2)-$C$120+IF($C$75="x",2)+$I$16-$B$10+$M$94+IF($C$77="x",2)-IF($C$78="x",4)-IF($I$78="x",1)-IF($C$79="x",4)+IF($C$80="x",1)-IF($I$77="x",2)-IF($I$90="x",2)+IF($I$83="x",2)-IF($C$83="x",4)-$C$112-5+IF(H597="x",1)+I597+$M$77+IF(H599="x",1)+IF(J599="x",1)+IF($M$76="x",2)+J597+IF($M$85="x",1)+IF($M$113="x",1)+IF($M$120="x",2)+IF($M$119="x",2)+IF($M$105="x",1)+IF($M$110="x",1)+IF($M$111="x",2)+IF($M$112="x",4)+IF($M$108="x",1)-IF($M$109="x",1)-IF($M$99="x",1)+IF($M$90="x",1)
&amp;"/"&amp;SUM($C$3,$I$2)-$C$120+IF($C$75="x",2)+$I$16-$B$10+$M$94+IF($C$77="x",2)-IF($C$78="x",4)-IF($I$78="x",1)-IF($C$79="x",4)+IF($C$80="x",1)-IF($I$77="x",2)-IF($I$90="x",2)+IF($I$83="x",2)-IF($C$83="x",4)-$C$112-10+IF(H597="x",1)+I597+$M$77+IF(H599="x",1)+IF(J599="x",1)+IF($M$76="x",2)+J597+IF($M$85="x",1)+IF($M$113="x",1)+IF($M$120="x",2)+IF($M$119="x",2)+IF($M$105="x",1)+IF($M$110="x",1)+IF($M$111="x",2)+IF($M$112="x",4)+IF($M$108="x",1)-IF($M$109="x",1)-IF($M$99="x",1)+IF($M$90="x",1),
IF(AND($C$3&gt;15),SUM($C$3,$I$2)-$C$120+IF($C$75="x",2)+$I$16-$B$10+$M$94+IF($C$77="x",2)-IF($C$78="x",4)-IF($I$78="x",1)-IF($C$79="x",4)+IF($C$80="x",1)-IF($I$77="x",2)-IF($I$90="x",2)+IF($I$83="x",2)-IF($C$83="x",4)-$C$112+IF(H597="x",1)+I597+$M$77+IF(H599="x",1)+IF(J599="x",1)+IF($M$76="x",2)+J597+IF($M$85="x",1)+IF($M$113="x",1)+IF($M$120="x",2)+IF($M$119="x",2)+IF($M$105="x",1)+IF($M$110="x",1)+IF($M$111="x",2)+IF($M$112="x",4)+IF($M$108="x",1)-IF($M$109="x",1)-IF($M$99="x",1)+IF($M$90="x",1)
&amp;"/"&amp;SUM($C$3,$I$2)-$C$120+IF($C$75="x",2)+$I$16-$B$10+$M$94+IF($C$77="x",2)-IF($C$78="x",4)-IF($I$78="x",1)-IF($C$79="x",4)+IF($C$80="x",1)-IF($I$77="x",2)-IF($I$90="x",2)+IF($I$83="x",2)-IF($C$83="x",4)-$C$112-5+IF(H597="x",1)+I597+$M$77+IF(H599="x",1)+IF(J599="x",1)+IF($M$76="x",2)+J597
+IF($M$85="x",1)+IF($M$113="x",1)+IF($M$120="x",2)+IF($M$119="x",2)+IF($M$105="x",1)+IF($M$110="x",1)+IF($M$111="x",2)+IF($M$112="x",4)+IF($M$108="x",1)-IF($M$109="x",1)-IF($M$99="x",1)+IF($M$90="x",1)
&amp;"/"&amp;SUM($C$3,$I$2)-$C$120+IF($C$75="x",2)+$I$16-$B$10+$M$94+IF($C$77="x",2)-IF($C$78="x",4)-IF($I$78="x",1)-IF($C$79="x",4)+IF($C$80="x",1)-IF($I$77="x",2)-IF($I$90="x",2)+IF($I$83="x",2)-IF($C$83="x",4)-$C$112-10+IF(H597="x",1)+I597+$M$77+IF(H599="x",1)+IF(J599="x",1)+IF($M$76="x",2)+J597+IF($M$85="x",1)+IF($M$113="x",1)+IF($M$120="x",2)+IF($M$119="x",2)+IF($M$105="x",1)+IF($M$110="x",1)+IF($M$111="x",2)+IF($M$112="x",4)+IF($M$108="x",1)-IF($M$109="x",1)-IF($M$99="x",1)+IF($M$90="x",1)
&amp;"/"&amp;SUM($C$3,$I$2)-$C$120+IF($C$75="x",2)+$I$16-$B$10+$M$94+IF($C$77="x",2)-IF($C$78="x",4)-IF($I$78="x",1)-IF($C$79="x",4)+IF($C$80="x",1)-IF($I$77="x",2)-IF($I$90="x",2)+IF($I$83="x",2)-IF($C$83="x",4)-$C$112-15+IF(H597="x",1)+I597+$M$77+IF(H599="x",1)+IF(J599="x",1)+IF($M$76="x",2)+J597+IF($M$85="x",1)+IF($M$113="x",1)+IF($M$120="x",2)+IF($M$119="x",2)+IF($M$105="x",1)+IF($M$110="x",1)+IF($M$111="x",2)+IF($M$112="x",4)+IF($M$108="x",1)-IF($M$109="x",1)-IF($M$99="x",1)+IF($M$90="x",1))))))</f>
        <v>0</v>
      </c>
      <c r="C597" s="114" t="str">
        <f>_xlfn.IFS($C$7="Minimaalinen","1n2",$C$7="Taskukokoinen","1n3",$C$7="Hyvin pieni","1n4",$C$7="Pieni","1n6",$C$7="Keskikokoinen","1n8",$C$7="Iso","2n6",$C$7="Valtava","3n6",$C$7="Suunnaton","4n6",$C$7="Giganttinen","6n6")</f>
        <v>1n8</v>
      </c>
      <c r="D597" s="119">
        <f>IF($I$2&lt;0,$I$2,INT($I$2*1.5))+($C$120*2)+I597+$M$77+IF(I599="x",2)+IF(K599="x",2)+IF($M$119="x",2)+IF($M$108="x",1)+$M$94-IF($M$109="x",1)+K597</f>
        <v>0</v>
      </c>
      <c r="E597" s="114" t="str">
        <f>_xlfn.IFS($C$7="Minimaalinen","3n2",$C$7="Taskukokoinen","3n3",$C$7="Hyvin pieni","3n4",$C$7="Pieni","3n6",$C$7="Keskikokoinen","3n8",$C$7="Iso","6n6",$C$7="Valtava","9n6",$C$7="Suunnaton","12n6",$C$7="Giganttinen","18n6")</f>
        <v>3n8</v>
      </c>
      <c r="F597" s="120">
        <f>SUM(D597*3)</f>
        <v>0</v>
      </c>
      <c r="G597" s="120" t="str">
        <f>(IF($I$89="x","50 %","")&amp;(IF($C$81="x","20 %",""))&amp;(IF($C$82="x","50 %",""&amp;IF($M$91="x","50 % (5 j 20 %)",""&amp;IF($M$115="x","50 % (5 j 20 %)",""&amp;IF($M$120="x","20 %",""))))))</f>
        <v/>
      </c>
      <c r="H597" s="28"/>
      <c r="I597" s="17">
        <v>0</v>
      </c>
      <c r="J597" s="17">
        <v>0</v>
      </c>
      <c r="K597" s="17">
        <v>0</v>
      </c>
      <c r="AB597" s="62"/>
      <c r="AC597" s="53"/>
      <c r="AD597" s="49"/>
      <c r="AE597" s="51"/>
      <c r="AF597" s="49"/>
      <c r="AG597" s="49"/>
      <c r="AH597" s="53"/>
      <c r="AI597" s="48"/>
      <c r="AJ597" s="48"/>
    </row>
    <row r="598" spans="1:38" x14ac:dyDescent="0.2">
      <c r="A598" s="25" t="s">
        <v>327</v>
      </c>
      <c r="B598" s="121">
        <f>IF($I$85="x","PAINISSA",IF($C$3&lt;=5,SUM($C$3,$I$2)-$C$120+IF($C$75="x",2)+$I$16-$B$10+$M$94+IF($C$77="x",2)-IF($C$78="x",4)-IF($I$78="x",1)-IF($C$79="x",4)+IF($C$80="x",1)-IF($I$77="x",2)-IF($I$90="x",2)+IF($I$83="x",2)-IF($C$75="x",4)-$C$112+IF(H597="x",1)+I597+$M$77+IF(H599="x",1)+IF(J599="x",1)+IF($M$76="x",2)+J597+IF($M$85="x",1)+IF($M$113="x",1)+IF($M$120="x",2)+IF($M$119="x",2)+IF($M$105="x",1)+IF($M$110="x",1)+IF($M$111="x",2)+IF($M$112="x",4)+IF($M$108="x",1)-IF($M$109="x",1)-IF($M$99="x",1)+IF($M$90="x",1)-IF($C$97="x",2,4),
IF(AND($C$3&gt;5,$C$3&lt;11),SUM($C$3,$I$2)-$C$120+IF($C$75="x",2)+$I$16-$B$10+$M$94+IF($C$77="x",2)-IF($C$78="x",4)-IF($I$78="x",1)-IF($C$79="x",4)+IF($C$80="x",1)-IF($I$77="x",2)-IF($I$90="x",2)+IF($I$83="x",2)-IF($C$83="x",4)-$C$112+IF(H597="x",1)+I597+$M$77+IF(H599="x",1)+IF(J599="x",1)+IF($M$76="x",2)+J597+IF($M$85="x",1)+IF($M$113="x",1)+IF($M$120="x",2)+IF($M$119="x",2)+IF($M$105="x",1)+IF($M$110="x",1)+IF($M$111="x",2)+IF($M$112="x",4)+IF($M$108="x",1)-IF($M$109="x",1)-IF($M$99="x",1)+IF($M$90="x",1)-IF($C$97="x",2,4)
&amp;"/"&amp;SUM($C$3,$I$2)-$C$120+IF($C$75="x",2)+$I$16-$B$10+$M$94+IF($C$77="x",2)-IF($C$78="x",4)-IF($I$78="x",1)-IF($C$79="x",4)+IF($C$80="x",1)-IF($I$77="x",2)-IF($I$90="x",2)+IF($I$83="x",2)-IF($C$83="x",4)-$C$112-5+IF(H597="x",1)+I597+$M$77+IF(H599="x",1)+IF(J599="x",1)+IF($M$76="x",2)+J597+IF($M$85="x",1)+IF($M$113="x",1)+IF($M$120="x",2)+IF($M$119="x",2)+IF($M$105="x",1)+IF($M$110="x",1)+IF($M$111="x",2)+IF($M$112="x",4)+IF($M$108="x",1)-IF($M$109="x",1)-IF($M$99="x",1)+IF($M$90="x",1)-IF($C$97="x",2,4),
IF(AND($C$3&gt;10,$C$3&lt;16),SUM($C$3,$I$2)-$C$120+IF($C$75="x",2)+$I$16-$B$10+$M$94+IF($C$77="x",2)-IF($C$78="x",4)-IF($I$78="x",1)-IF($C$79="x",4)+IF($C$80="x",1)-IF($I$77="x",2)-IF($I$90="x",2)+IF($I$83="x",2)-IF($C$83="x",4)-$C$112+I567+$M$77+IF(J569="x",1)+IF($M$76="x",2)+J567+IF($M$85="x",1)+IF($M$113="x",1)+IF($M$120="x",2)+IF($M$119="x",2)+IF($M$105="x",1)+IF($M$110="x",1)+IF($M$111="x",2)+IF($M$112="x",4)+IF($M$108="x",1)-IF($M$109="x",1)+IF($M$99="x",20)-IF($M$99="x",1)+IF($M$90="x",1)-IF($C$97="x",2,4)
&amp;"/"&amp;SUM($C$3,$I$2)-$C$120+IF($C$75="x",2)+$I$16-$B$10+$M$94+IF($C$77="x",2)-IF($C$78="x",4)-IF($I$78="x",1)-IF($C$79="x",4)+IF($C$80="x",1)-IF($I$77="x",2)-IF($I$90="x",2)+IF($I$83="x",2)-IF($C$83="x",4)-$C$112-5+IF(H597="x",1)+I597+$M$77+IF(H599="x",1)+IF(J599="x",1)+IF($M$76="x",2)+J597+IF($M$85="x",1)+IF($M$113="x",1)+IF($M$120="x",2)+IF($M$119="x",2)+IF($M$105="x",1)+IF($M$110="x",1)+IF($M$111="x",2)+IF($M$112="x",4)+IF($M$108="x",1)-IF($M$109="x",1)-IF($M$99="x",1)+IF($M$90="x",1)-IF($C$97="x",2,4)
&amp;"/"&amp;SUM($C$3,$I$2)-$C$120+IF($C$75="x",2)+$I$16-$B$10+$M$94+IF($C$77="x",2)-IF($C$78="x",4)-IF($I$78="x",1)-IF($C$79="x",4)+IF($C$80="x",1)-IF($I$77="x",2)-IF($I$90="x",2)+IF($I$83="x",2)-IF($C$83="x",4)-$C$112-10+IF(H597="x",1)+I597+$M$77+IF(H599="x",1)+IF(J599="x",1)+IF($M$76="x",2)+J597+IF($M$85="x",1)+IF($M$113="x",1)+IF($M$120="x",2)+IF($M$119="x",2)+IF($M$105="x",1)+IF($M$110="x",1)+IF($M$111="x",2)+IF($M$112="x",4)+IF($M$108="x",1)-IF($M$109="x",1)-IF($M$99="x",1)+IF($M$90="x",1)-IF($C$97="x",2,4),
IF(AND($C$3&gt;15),SUM($C$3,$I$2)-$C$120+IF($C$75="x",2)+$I$16-$B$10+$M$94+IF($C$77="x",2)-IF($C$78="x",4)-IF($I$78="x",1)-IF($C$79="x",4)+IF($C$80="x",1)-IF($I$77="x",2)-IF($I$90="x",2)+IF($I$83="x",2)-IF($C$83="x",4)-$C$112+IF(H597="x",1)+I597+$M$77+IF(H599="x",1)+IF(J599="x",1)+IF($M$76="x",2)+J597+IF($M$85="x",1)+IF($M$113="x",1)+IF($M$120="x",2)+IF($M$119="x",2)+IF($M$105="x",1)+IF($M$110="x",1)+IF($M$111="x",2)+IF($M$112="x",4)+IF($M$108="x",1)-IF($M$109="x",1)-IF($M$99="x",1)+IF($M$90="x",1)-IF($C$97="x",2,4)
&amp;"/"&amp;SUM($C$3,$I$2)-$C$120+IF($C$75="x",2)+$I$16-$B$10+$M$94+IF($C$77="x",2)-IF($C$78="x",4)-IF($I$78="x",1)-IF($C$79="x",4)+IF($C$80="x",1)-IF($I$77="x",2)-IF($I$90="x",2)+IF($I$83="x",2)-IF($C$83="x",4)-$C$112-5+IF(H597="x",1)+I597+$M$77+IF(H599="x",1)+IF(J599="x",1)+IF($M$76="x",2)+J597
+IF($M$85="x",1)+IF($M$113="x",1)+IF($M$120="x",2)+IF($M$119="x",2)+IF($M$105="x",1)+IF($M$110="x",1)+IF($M$111="x",2)+IF($M$112="x",4)+IF($M$108="x",1)-IF($M$109="x",1)-IF($M$99="x",1)+IF($M$90="x",1)-IF($C$97="x",2,4)
&amp;"/"&amp;SUM($C$3,$I$2)-$C$120+IF($C$75="x",2)+$I$16-$B$10+$M$94+IF($C$77="x",2)-IF($C$78="x",4)-IF($I$78="x",1)-IF($C$79="x",4)+IF($C$80="x",1)-IF($I$77="x",2)-IF($I$90="x",2)+IF($I$83="x",2)-IF($C$83="x",4)-$C$112-10+IF(H597="x",1)+I597+$M$77+IF(H599="x",1)+IF(J599="x",1)+IF($M$76="x",2)+J597+IF($M$85="x",1)+IF($M$113="x",1)+IF($M$120="x",2)+IF($M$119="x",2)+IF($M$105="x",1)+IF($M$110="x",1)+IF($M$111="x",2)+IF($M$112="x",4)+IF($M$108="x",1)-IF($M$109="x",1)-IF($M$99="x",1)+IF($M$90="x",1)-IF($C$97="x",2,4)
&amp;"/"&amp;SUM($C$3,$I$2)-$C$120+IF($C$75="x",2)+$I$16-$B$10+$M$94+IF($C$77="x",2)-IF($C$78="x",4)-IF($I$78="x",1)-IF($C$79="x",4)+IF($C$80="x",1)-IF($I$77="x",2)-IF($I$90="x",2)+IF($I$83="x",2)-IF($C$83="x",4)-$C$112-15+IF(H597="x",1)+I597+$M$77+IF(H599="x",1)+IF(J599="x",1)+IF($M$76="x",2)+J597+IF($M$85="x",1)+IF($M$113="x",1)+IF($M$120="x",2)+IF($M$119="x",2)+IF($M$105="x",1)+IF($M$110="x",1)+IF($M$111="x",2)+IF($M$112="x",4)+IF($M$108="x",1)-IF($M$109="x",1)-IF($M$99="x",1)+IF($M$90="x",1)-IF($C$97="x",2,4))))))</f>
        <v>-4</v>
      </c>
      <c r="C598" s="49" t="str">
        <f>_xlfn.IFS($C$7="Minimaalinen","1n2",$C$7="Taskukokoinen","1n3",$C$7="Hyvin pieni","1n4",$C$7="Pieni","1n6",$C$7="Keskikokoinen","1n8",$C$7="Iso","2n6",$C$7="Valtava","3n6",$C$7="Suunnaton","4n6",$C$7="Giganttinen","6n6")</f>
        <v>1n8</v>
      </c>
      <c r="D598" s="121">
        <f>SUM($I$2+$C$120)+I597+$M$77+IF(I599="x",2)+IF(K599="x",2)+IF($M$119="x",2)+IF($M$108="x",1)+$M$94-IF($M$109="x",1)+K597</f>
        <v>0</v>
      </c>
      <c r="E598" s="49" t="str">
        <f>_xlfn.IFS($C$7="Minimaalinen","3n2",$C$7="Taskukokoinen","3n3",$C$7="Hyvin pieni","3n4",$C$7="Pieni","3n6",$C$7="Keskikokoinen","3n8",$C$7="Iso","6n6",$C$7="Valtava","9n6",$C$7="Suunnaton","12n6",$C$7="Giganttinen","18n6")</f>
        <v>3n8</v>
      </c>
      <c r="F598" s="82">
        <f>SUM(D598*3)</f>
        <v>0</v>
      </c>
      <c r="G598" s="82" t="str">
        <f>(IF($I$89="x","50 %","")&amp;(IF($C$81="x","20 %",""))&amp;(IF($C$82="x","50 %",""&amp;IF($M$91="x","50 % (5 j 20 %)",""&amp;IF($M$115="x","50 % (5 j 20 %)",""&amp;IF($M$120="x","20 %",""))))))</f>
        <v/>
      </c>
      <c r="H598" s="14" t="s">
        <v>220</v>
      </c>
      <c r="I598" s="14" t="s">
        <v>221</v>
      </c>
      <c r="J598" s="14" t="s">
        <v>222</v>
      </c>
      <c r="K598" s="11" t="s">
        <v>223</v>
      </c>
      <c r="AB598" s="59"/>
      <c r="AC598" s="51"/>
      <c r="AD598" s="49"/>
      <c r="AE598" s="51"/>
      <c r="AF598" s="49"/>
      <c r="AG598" s="49"/>
      <c r="AH598" s="49"/>
      <c r="AI598" s="40"/>
      <c r="AJ598" s="40"/>
      <c r="AL598" s="50"/>
    </row>
    <row r="599" spans="1:38" x14ac:dyDescent="0.2">
      <c r="A599" s="122" t="s">
        <v>330</v>
      </c>
      <c r="B599" s="123">
        <f>IF($I$85="x","PAINISSA",IF(AND($C$90="",$C$118=""),SUM($C$3,$I$2)-$C$120+IF($C$75="x",2)+$I$16-$B$10+$M$94+IF($C$77="x",2)-IF($C$78="x",4)-IF($I$78="x",1)-IF($C$79="x",4)+IF($C$80="x",1)-IF($I$77="x",2)-IF($I$90="x",2)+IF($I$83="x",2)-IF($C$75="x",4)-$C$112+IF(H597="x",1)+I597+$M$77+IF(H599="x",1)+IF(J599="x",1)+IF($M$76="x",2)+J597+IF($M$85="x",1)+IF($M$113="x",1)+IF($M$120="x",2)+IF($M$119="x",2)+IF($M$105="x",1)+IF($M$110="x",1)+IF($M$111="x",2)+IF($M$112="x",4)+IF($M$108="x",1)-IF($M$109="x",1)-IF($M$99="x",1)+IF($M$90="x",1)-IF($C$97="x",2,8),
IF(AND($C$90="x",$C$118=""),SUM($C$3,$I$2)-$C$120+IF($C$75="x",2)+$I$16-$B$10+$M$94+IF($C$77="x",2)-IF($C$78="x",4)-IF($I$78="x",1)-IF($C$79="x",4)+IF($C$80="x",1)-IF($I$77="x",2)-IF($I$90="x",2)+IF($I$83="x",2)-IF($C$83="x",4)-$C$112+IF(H597="x",1)+I597+$M$77+IF(H599="x",1)+IF(J599="x",1)+IF($M$76="x",2)+J597+IF($M$85="x",1)+IF($M$113="x",1)+IF($M$120="x",2)+IF($M$119="x",2)+IF($M$105="x",1)+IF($M$110="x",1)+IF($M$111="x",2)+IF($M$112="x",4)+IF($M$108="x",1)-IF($M$109="x",1)-IF($M$99="x",1)+IF($M$90="x",1)-IF($C$97="x",2,8)
&amp;"/"&amp;SUM($C$3,$I$2)-$C$120+IF($C$75="x",2)+$I$16-$B$10+$M$94+IF($C$77="x",2)-IF($C$78="x",4)-IF($I$78="x",1)-IF($C$79="x",4)+IF($C$80="x",1)-IF($I$77="x",2)-IF($I$90="x",2)+IF($I$83="x",2)-IF($C$83="x",4)-$C$112+IF(H597="x",1)+I597+$M$77+IF(H599="x",1)+IF(J599="x",1)+IF($M$76="x",2)+J597+IF($M$85="x",1)+IF($M$113="x",1)+IF($M$120="x",2)+IF($M$119="x",2)+IF($M$105="x",1)+IF($M$110="x",1)+IF($M$111="x",2)+IF($M$112="x",4)+IF($M$108="x",1)-IF($M$109="x",1)-IF($M$99="x",1)+IF($M$90="x",1)-IF($C$97="x",2,8)-5,
IF(AND($C$90="x",$C$118="x"),SUM($C$3,$I$2)-$C$120+IF($C$75="x",2)+$I$16-$B$10+$M$94+IF($C$77="x",2)-IF($C$78="x",4)-IF($I$78="x",1)-IF($C$79="x",4)+IF($C$80="x",1)-IF($I$77="x",2)-IF($I$90="x",2)+IF($I$83="x",2)-IF($C$83="x",4)-$C$112+IF(H597="x",1)+I597+$M$77+IF(H599="x",1)+IF(J599="x",1)+IF($M$76="x",2)+J597+IF($M$85="x",1)+IF($M$113="x",1)+IF($M$120="x",2)+IF($M$119="x",2)+IF($M$105="x",1)+IF($M$110="x",1)+IF($M$111="x",2)+IF($M$112="x",4)+IF($M$108="x",1)-IF($M$109="x",1)+IF($M$99="x",20)-IF($M$99="x",1)+IF($M$90="x",1)-IF($C$97="x",2,8)
&amp;"/"&amp;SUM($C$3,$I$2)-$C$120+IF($C$75="x",2)+$I$16-$B$10+$M$94+IF($C$77="x",2)-IF($C$78="x",4)-IF($I$78="x",1)-IF($C$79="x",4)+IF($C$80="x",1)-IF($I$77="x",2)-IF($I$90="x",2)+IF($I$83="x",2)-IF($C$83="x",4)-$C$112-5+IF(H597="x",1)+I597+$M$77+IF(H599="x",1)+IF(J599="x",1)+IF($M$76="x",2)+J597+IF($M$85="x",1)+IF($M$113="x",1)+IF($M$120="x",2)+IF($M$119="x",2)+IF($M$105="x",1)+IF($M$110="x",1)+IF($M$111="x",2)+IF($M$112="x",4)+IF($M$108="x",1)-IF($M$109="x",1)-IF($M$99="x",1)+IF($M$90="x",1)-IF($C$97="x",4,10)
&amp;"/"&amp;SUM($C$3,$I$2)-$C$120+IF($C$75="x",2)+$I$16-$B$10+$M$94+IF($C$77="x",2)-IF($C$78="x",4)-IF($I$78="x",1)-IF($C$79="x",4)+IF($C$80="x",1)-IF($I$77="x",2)-IF($I$90="x",2)+IF($I$83="x",2)-IF($C$83="x",4)-$C$112-10+IF(H597="x",1)+I597+$M$77+IF(H599="x",1)+IF(J599="x",1)+IF($M$76="x",2)+J597+IF($M$85="x",1)+IF($M$113="x",1)+IF($M$120="x",2)+IF($M$119="x",2)+IF($M$105="x",1)+IF($M$110="x",1)+IF($M$111="x",2)+IF($M$112="x",4)+IF($M$108="x",1)-IF($M$109="x",1)-IF($M$99="x",1)+IF($M$90="x",1)-IF($C$97="x",2,8)))))</f>
        <v>-8</v>
      </c>
      <c r="C599" s="54" t="str">
        <f>_xlfn.IFS($C$7="Minimaalinen","1n2",$C$7="Taskukokoinen","1n3",$C$7="Hyvin pieni","1n4",$C$7="Pieni","1n6",$C$7="Keskikokoinen","1n8",$C$7="Iso","2n6",$C$7="Valtava","3n6",$C$7="Suunnaton","4n6",$C$7="Giganttinen","6n6")</f>
        <v>1n8</v>
      </c>
      <c r="D599" s="123">
        <f>INT($I$2/2)+($C$120)+I597+$M$77+IF(I599="x",2)+IF(K599="x",2)+IF($M$119="x",2)+IF($M$108="x",1)+$M$94-IF($M$109="x",1)+K597</f>
        <v>0</v>
      </c>
      <c r="E599" s="54" t="str">
        <f>_xlfn.IFS($C$7="Minimaalinen","3n2",$C$7="Taskukokoinen","3n3",$C$7="Hyvin pieni","3n4",$C$7="Pieni","3n6",$C$7="Keskikokoinen","3n8",$C$7="Iso","6n6",$C$7="Valtava","9n6",$C$7="Suunnaton","12n6",$C$7="Giganttinen","18n6")</f>
        <v>3n8</v>
      </c>
      <c r="F599" s="124">
        <f>SUM(D599*3)</f>
        <v>0</v>
      </c>
      <c r="G599" s="124" t="str">
        <f>(IF($I$89="x","50 %","")&amp;(IF($C$81="x","20 %",""))&amp;(IF($C$82="x","50 %",""&amp;IF($M$91="x","50 % (5 j 20 %)",""&amp;IF($M$115="x","50 % (5 j 20 %)",""&amp;IF($M$120="x","20 %",""))))))</f>
        <v/>
      </c>
      <c r="H599" s="28"/>
      <c r="I599" s="28"/>
      <c r="J599" s="28"/>
      <c r="K599" s="28"/>
      <c r="L599" s="109"/>
      <c r="M599" s="109"/>
      <c r="N599" s="110"/>
    </row>
    <row r="600" spans="1:38" x14ac:dyDescent="0.2">
      <c r="A600" s="147"/>
      <c r="B600" s="148"/>
      <c r="C600" s="148"/>
      <c r="D600" s="148"/>
      <c r="E600" s="148"/>
      <c r="F600" s="148"/>
      <c r="G600" s="148"/>
      <c r="H600" s="148"/>
      <c r="I600" s="148"/>
      <c r="J600" s="148"/>
      <c r="K600" s="148"/>
      <c r="L600" s="81"/>
      <c r="M600" s="81"/>
      <c r="N600" s="90"/>
    </row>
    <row r="601" spans="1:38" x14ac:dyDescent="0.2">
      <c r="A601" s="47"/>
      <c r="B601" s="113"/>
      <c r="C601" s="114"/>
      <c r="D601" s="113"/>
      <c r="E601" s="114"/>
      <c r="F601" s="114"/>
      <c r="G601" s="114"/>
      <c r="H601" s="40"/>
      <c r="I601" s="40"/>
      <c r="J601" s="40"/>
      <c r="K601" s="40"/>
      <c r="AB601" s="46"/>
      <c r="AC601" s="48"/>
      <c r="AD601" s="48"/>
      <c r="AE601" s="48"/>
      <c r="AF601" s="48"/>
      <c r="AG601" s="48"/>
      <c r="AH601" s="48"/>
      <c r="AI601" s="48"/>
      <c r="AJ601" s="48"/>
      <c r="AK601" s="48"/>
      <c r="AL601" s="48"/>
    </row>
    <row r="602" spans="1:38" x14ac:dyDescent="0.2">
      <c r="A602" s="34" t="s">
        <v>239</v>
      </c>
      <c r="B602" s="25"/>
      <c r="C602" s="25"/>
      <c r="D602" s="25"/>
      <c r="E602" s="25"/>
      <c r="F602" s="25"/>
      <c r="G602" s="25"/>
      <c r="H602" s="25"/>
      <c r="I602" s="25"/>
      <c r="J602" s="25"/>
      <c r="K602" s="25"/>
      <c r="AB602" s="59"/>
      <c r="AC602" s="51"/>
      <c r="AD602" s="49"/>
      <c r="AE602" s="51"/>
      <c r="AF602" s="49"/>
      <c r="AG602" s="49"/>
      <c r="AH602" s="49"/>
      <c r="AI602" s="40"/>
      <c r="AJ602" s="40"/>
      <c r="AK602" s="40"/>
      <c r="AL602" s="40"/>
    </row>
    <row r="603" spans="1:38" x14ac:dyDescent="0.2">
      <c r="A603" s="10"/>
      <c r="B603" s="25"/>
      <c r="C603" s="25"/>
      <c r="D603" s="25"/>
      <c r="E603" s="25"/>
      <c r="F603" s="25"/>
      <c r="G603" s="25"/>
      <c r="H603" s="25"/>
      <c r="I603" s="25"/>
      <c r="J603" s="25"/>
      <c r="K603" s="25"/>
      <c r="AB603" s="59"/>
      <c r="AC603" s="51"/>
      <c r="AD603" s="49"/>
      <c r="AE603" s="51"/>
      <c r="AF603" s="49"/>
      <c r="AG603" s="49"/>
      <c r="AH603" s="49"/>
      <c r="AI603" s="40"/>
      <c r="AJ603" s="40"/>
      <c r="AK603" s="40"/>
      <c r="AL603" s="40"/>
    </row>
    <row r="604" spans="1:38" x14ac:dyDescent="0.2">
      <c r="A604" s="34" t="s">
        <v>258</v>
      </c>
      <c r="B604" s="11" t="s">
        <v>1</v>
      </c>
      <c r="C604" s="11" t="s">
        <v>2</v>
      </c>
      <c r="D604" s="11" t="s">
        <v>3</v>
      </c>
      <c r="E604" s="11" t="s">
        <v>229</v>
      </c>
      <c r="F604" s="11" t="s">
        <v>3</v>
      </c>
      <c r="G604" s="11" t="s">
        <v>45</v>
      </c>
      <c r="H604" s="14" t="s">
        <v>179</v>
      </c>
      <c r="I604" s="130" t="s">
        <v>242</v>
      </c>
      <c r="J604" s="130" t="s">
        <v>224</v>
      </c>
      <c r="K604" s="130" t="s">
        <v>225</v>
      </c>
      <c r="AB604" s="62"/>
      <c r="AC604" s="53"/>
      <c r="AD604" s="49"/>
      <c r="AE604" s="51"/>
      <c r="AF604" s="49"/>
      <c r="AG604" s="49"/>
      <c r="AH604" s="53"/>
      <c r="AI604" s="48"/>
      <c r="AJ604" s="48"/>
      <c r="AK604" s="48"/>
      <c r="AL604" s="48"/>
    </row>
    <row r="605" spans="1:38" x14ac:dyDescent="0.2">
      <c r="A605" s="58" t="s">
        <v>8</v>
      </c>
      <c r="B605" s="119">
        <f>IF($I$85="x","PAINISSA",IF($C$3&lt;=5,SUM($C$3,$I$2)-$C$120+IF($C$75="x",2)+$I$16-$B$10+$M$94+IF($C$77="x",2)-IF($C$78="x",4)-IF($I$78="x",1)-IF($C$79="x",4)+IF($C$80="x",1)-IF($I$77="x",2)-IF($I$90="x",2)+IF($I$83="x",2)-IF($C$75="x",4)-$C$112+IF(H605="x",1)+I605+$M$77+IF(H607="x",1)+IF(J607="x",1)+IF($M$76="x",2)+J605+IF($M$85="x",1)+IF($M$113="x",1)+IF($M$120="x",2)+IF($M$119="x",2)+IF($M$105="x",1)+IF($M$110="x",1)+IF($M$111="x",2)+IF($M$112="x",4)+IF($M$108="x",1)-IF($M$109="x",1)-IF($M$99="x",1)+IF($M$90="x",1),
IF(AND($C$3&gt;5,$C$3&lt;11),SUM($C$3,$I$2)-$C$120+IF($C$75="x",2)+$I$16-$B$10+$M$94+IF($C$77="x",2)-IF($C$78="x",4)-IF($I$78="x",1)-IF($C$79="x",4)+IF($C$80="x",1)-IF($I$77="x",2)-IF($I$90="x",2)+IF($I$83="x",2)-IF($C$83="x",4)-$C$112+IF(H605="x",1)+I605+$M$77+IF(H607="x",1)+IF(J607="x",1)+IF($M$76="x",2)+J605+IF($M$85="x",1)+IF($M$113="x",1)+IF($M$120="x",2)+IF($M$119="x",2)+IF($M$105="x",1)+IF($M$110="x",1)+IF($M$111="x",2)+IF($M$112="x",4)+IF($M$108="x",1)-IF($M$109="x",1)-IF($M$99="x",1)+IF($M$90="x",1)
&amp;"/"&amp;SUM($C$3,$I$2)-$C$120+IF($C$75="x",2)+$I$16-$B$10+$M$94+IF($C$77="x",2)-IF($C$78="x",4)-IF($I$78="x",1)-IF($C$79="x",4)+IF($C$80="x",1)-IF($I$77="x",2)-IF($I$90="x",2)+IF($I$83="x",2)-IF($C$83="x",4)-$C$112-5+IF(H605="x",1)+I605+$M$77+IF(H607="x",1)+IF(J607="x",1)+IF($M$76="x",2)+J605+IF($M$85="x",1)+IF($M$113="x",1)+IF($M$120="x",2)+IF($M$119="x",2)+IF($M$105="x",1)+IF($M$110="x",1)+IF($M$111="x",2)+IF($M$112="x",4)+IF($M$108="x",1)-IF($M$109="x",1)-IF($M$99="x",1)+IF($M$90="x",1),
IF(AND($C$3&gt;10,$C$3&lt;16),SUM($C$3,$I$2)-$C$120+IF($C$75="x",2)+$I$16-$B$10+$M$94+IF($C$77="x",2)-IF($C$78="x",4)-IF($I$78="x",1)-IF($C$79="x",4)+IF($C$80="x",1)-IF($I$77="x",2)-IF($I$90="x",2)+IF($I$83="x",2)-IF($C$83="x",4)-$C$112+#REF!+$M$77+IF($M$76="x",2)+#REF!+IF($M$85="x",1)+IF($M$113="x",1)+IF($M$120="x",2)+IF($M$119="x",2)+IF($M$105="x",1)+IF($M$110="x",1)+IF($M$111="x",2)+IF($M$112="x",4)+IF($M$108="x",1)-IF($M$109="x",1)+IF($M$99="x",20)-IF($M$99="x",1)+IF($M$90="x",1)
&amp;"/"&amp;SUM($C$3,$I$2)-$C$120+IF($C$75="x",2)+$I$16-$B$10+$M$94+IF($C$77="x",2)-IF($C$78="x",4)-IF($I$78="x",1)-IF($C$79="x",4)+IF($C$80="x",1)-IF($I$77="x",2)-IF($I$90="x",2)+IF($I$83="x",2)-IF($C$83="x",4)-$C$112-5+IF(H605="x",1)+I605+$M$77+IF(H607="x",1)+IF(J607="x",1)+IF($M$76="x",2)+J605+IF($M$85="x",1)+IF($M$113="x",1)+IF($M$120="x",2)+IF($M$119="x",2)+IF($M$105="x",1)+IF($M$110="x",1)+IF($M$111="x",2)+IF($M$112="x",4)+IF($M$108="x",1)-IF($M$109="x",1)-IF($M$99="x",1)+IF($M$90="x",1)
&amp;"/"&amp;SUM($C$3,$I$2)-$C$120+IF($C$75="x",2)+$I$16-$B$10+$M$94+IF($C$77="x",2)-IF($C$78="x",4)-IF($I$78="x",1)-IF($C$79="x",4)+IF($C$80="x",1)-IF($I$77="x",2)-IF($I$90="x",2)+IF($I$83="x",2)-IF($C$83="x",4)-$C$112-10+IF(H605="x",1)+I605+$M$77+IF(H607="x",1)+IF(J607="x",1)+IF($M$76="x",2)+J605+IF($M$85="x",1)+IF($M$113="x",1)+IF($M$120="x",2)+IF($M$119="x",2)+IF($M$105="x",1)+IF($M$110="x",1)+IF($M$111="x",2)+IF($M$112="x",4)+IF($M$108="x",1)-IF($M$109="x",1)-IF($M$99="x",1)+IF($M$90="x",1),
IF(AND($C$3&gt;15),SUM($C$3,$I$2)-$C$120+IF($C$75="x",2)+$I$16-$B$10+$M$94+IF($C$77="x",2)-IF($C$78="x",4)-IF($I$78="x",1)-IF($C$79="x",4)+IF($C$80="x",1)-IF($I$77="x",2)-IF($I$90="x",2)+IF($I$83="x",2)-IF($C$83="x",4)-$C$112+IF(H605="x",1)+I605+$M$77+IF(H607="x",1)+IF(J607="x",1)+IF($M$76="x",2)+J605+IF($M$85="x",1)+IF($M$113="x",1)+IF($M$120="x",2)+IF($M$119="x",2)+IF($M$105="x",1)+IF($M$110="x",1)+IF($M$111="x",2)+IF($M$112="x",4)+IF($M$108="x",1)-IF($M$109="x",1)-IF($M$99="x",1)+IF($M$90="x",1)
&amp;"/"&amp;SUM($C$3,$I$2)-$C$120+IF($C$75="x",2)+$I$16-$B$10+$M$94+IF($C$77="x",2)-IF($C$78="x",4)-IF($I$78="x",1)-IF($C$79="x",4)+IF($C$80="x",1)-IF($I$77="x",2)-IF($I$90="x",2)+IF($I$83="x",2)-IF($C$83="x",4)-$C$112-5+IF(H605="x",1)+I605+$M$77+IF(H607="x",1)+IF(J607="x",1)+IF($M$76="x",2)+J605
+IF($M$85="x",1)+IF($M$113="x",1)+IF($M$120="x",2)+IF($M$119="x",2)+IF($M$105="x",1)+IF($M$110="x",1)+IF($M$111="x",2)+IF($M$112="x",4)+IF($M$108="x",1)-IF($M$109="x",1)-IF($M$99="x",1)+IF($M$90="x",1)
&amp;"/"&amp;SUM($C$3,$I$2)-$C$120+IF($C$75="x",2)+$I$16-$B$10+$M$94+IF($C$77="x",2)-IF($C$78="x",4)-IF($I$78="x",1)-IF($C$79="x",4)+IF($C$80="x",1)-IF($I$77="x",2)-IF($I$90="x",2)+IF($I$83="x",2)-IF($C$83="x",4)-$C$112-10+IF(H605="x",1)+I605+$M$77+IF(H607="x",1)+IF(J607="x",1)+IF($M$76="x",2)+J605+IF($M$85="x",1)+IF($M$113="x",1)+IF($M$120="x",2)+IF($M$119="x",2)+IF($M$105="x",1)+IF($M$110="x",1)+IF($M$111="x",2)+IF($M$112="x",4)+IF($M$108="x",1)-IF($M$109="x",1)-IF($M$99="x",1)+IF($M$90="x",1)
&amp;"/"&amp;SUM($C$3,$I$2)-$C$120+IF($C$75="x",2)+$I$16-$B$10+$M$94+IF($C$77="x",2)-IF($C$78="x",4)-IF($I$78="x",1)-IF($C$79="x",4)+IF($C$80="x",1)-IF($I$77="x",2)-IF($I$90="x",2)+IF($I$83="x",2)-IF($C$83="x",4)-$C$112-15+IF(H605="x",1)+I605+$M$77+IF(H607="x",1)+IF(J607="x",1)+IF($M$76="x",2)+J605+IF($M$85="x",1)+IF($M$113="x",1)+IF($M$120="x",2)+IF($M$119="x",2)+IF($M$105="x",1)+IF($M$110="x",1)+IF($M$111="x",2)+IF($M$112="x",4)+IF($M$108="x",1)-IF($M$109="x",1)-IF($M$99="x",1)+IF($M$90="x",1))))))</f>
        <v>0</v>
      </c>
      <c r="C605" s="114" t="str">
        <f>_xlfn.IFS($C$7="Minimaalinen","1n3",$C$7="Taskukokoinen","1n4",$C$7="Hyvin pieni","1n6",$C$7="Pieni","1n8",$C$7="Keskikokoinen","1n10",$C$7="Iso","2n8",$C$7="Valtava","3n8",$C$7="Suunnaton","4n8",$C$7="Giganttinen","6n8")</f>
        <v>1n10</v>
      </c>
      <c r="D605" s="113">
        <f>IF($I$2&lt;0,$I$2,INT($I$2*1.5))+($C$120*2)+I605+$M$77+IF(I607="x",2)+IF(K607="x",2)+IF($M$119="x",2)+IF($M$108="x",1)+$M$94-IF($M$109="x",1)+K605</f>
        <v>0</v>
      </c>
      <c r="E605" s="114" t="str">
        <f>_xlfn.IFS($C$7="Minimaalinen","3n3",$C$7="Taskukokoinen","3n4",$C$7="Hyvin pieni","3n6",$C$7="Pieni","3n8",$C$7="Keskikokoinen","3n10",$C$7="Iso","6n8",$C$7="Valtava","9n8",$C$7="Suunnaton","12n8",$C$7="Giganttinen","18n8")</f>
        <v>3n10</v>
      </c>
      <c r="F605" s="120">
        <f>SUM(D605*3)</f>
        <v>0</v>
      </c>
      <c r="G605" s="120" t="str">
        <f>(IF($I$89="x","50 %","")&amp;(IF($C$81="x","20 %",""))&amp;(IF($C$82="x","50 %",""&amp;IF($M$91="x","50 % (5 j 20 %)",""&amp;IF($M$115="x","50 % (5 j 20 %)",""&amp;IF($M$120="x","20 %",""))))))</f>
        <v/>
      </c>
      <c r="H605" s="28"/>
      <c r="I605" s="17">
        <v>0</v>
      </c>
      <c r="J605" s="17">
        <v>0</v>
      </c>
      <c r="K605" s="17">
        <v>0</v>
      </c>
      <c r="AB605" s="59"/>
      <c r="AC605" s="51"/>
      <c r="AD605" s="49"/>
      <c r="AE605" s="51"/>
      <c r="AF605" s="49"/>
      <c r="AG605" s="49"/>
      <c r="AH605" s="49"/>
      <c r="AI605" s="40"/>
      <c r="AJ605" s="40"/>
      <c r="AK605" s="40"/>
      <c r="AL605" s="40"/>
    </row>
    <row r="606" spans="1:38" x14ac:dyDescent="0.2">
      <c r="A606" s="31" t="s">
        <v>240</v>
      </c>
      <c r="B606" s="15"/>
      <c r="C606" s="15"/>
      <c r="D606" s="15"/>
      <c r="F606" s="15"/>
      <c r="G606" s="15"/>
      <c r="H606" s="14" t="s">
        <v>220</v>
      </c>
      <c r="I606" s="11" t="s">
        <v>221</v>
      </c>
      <c r="J606" s="14" t="s">
        <v>222</v>
      </c>
      <c r="K606" s="11" t="s">
        <v>223</v>
      </c>
      <c r="AB606" s="62"/>
      <c r="AC606" s="53"/>
      <c r="AD606" s="49"/>
      <c r="AE606" s="51"/>
      <c r="AF606" s="49"/>
      <c r="AG606" s="49"/>
      <c r="AH606" s="53"/>
      <c r="AI606" s="48"/>
      <c r="AJ606" s="48"/>
    </row>
    <row r="607" spans="1:38" x14ac:dyDescent="0.2">
      <c r="A607" s="15" t="str">
        <f>_xlfn.IFS($C$7="Minimaalinen","0 j",$C$7="Taskukokoinen","0 j",$C$7="Hyvin pieni","5 j",$C$7="Pieni","10 j",$C$7="Keskikokoinen","10 j",$C$7="Iso","20 j",$C$7="Valtava","30 j",$C$7="Suunnaton","40 j",$C$7="Giganttinen","60 j")</f>
        <v>10 j</v>
      </c>
      <c r="B607" s="15"/>
      <c r="C607" s="15"/>
      <c r="D607" s="15"/>
      <c r="F607" s="15"/>
      <c r="G607" s="15"/>
      <c r="H607" s="28"/>
      <c r="I607" s="28"/>
      <c r="J607" s="28"/>
      <c r="K607" s="28"/>
      <c r="AB607" s="59"/>
      <c r="AC607" s="51"/>
      <c r="AD607" s="49"/>
      <c r="AE607" s="51"/>
      <c r="AF607" s="49"/>
      <c r="AG607" s="49"/>
      <c r="AH607" s="49"/>
      <c r="AI607" s="40"/>
      <c r="AJ607" s="40"/>
      <c r="AL607" s="50"/>
    </row>
    <row r="608" spans="1:38" x14ac:dyDescent="0.2">
      <c r="A608" s="64"/>
      <c r="B608" s="64"/>
      <c r="C608" s="64"/>
      <c r="D608" s="64"/>
      <c r="E608" s="64"/>
      <c r="F608" s="64"/>
      <c r="G608" s="64"/>
      <c r="H608" s="64"/>
      <c r="I608" s="64"/>
      <c r="J608" s="64"/>
      <c r="K608" s="64"/>
    </row>
    <row r="609" spans="1:38" x14ac:dyDescent="0.2">
      <c r="A609" s="64"/>
      <c r="B609" s="64"/>
      <c r="C609" s="64"/>
      <c r="D609" s="64"/>
      <c r="E609" s="64"/>
      <c r="F609" s="64"/>
      <c r="G609" s="64"/>
      <c r="H609" s="64"/>
      <c r="I609" s="64"/>
      <c r="J609" s="64"/>
      <c r="K609" s="64"/>
    </row>
    <row r="610" spans="1:38" x14ac:dyDescent="0.2">
      <c r="A610" s="34" t="s">
        <v>259</v>
      </c>
      <c r="B610" s="11" t="s">
        <v>1</v>
      </c>
      <c r="C610" s="11" t="s">
        <v>2</v>
      </c>
      <c r="D610" s="11" t="s">
        <v>3</v>
      </c>
      <c r="E610" s="11" t="s">
        <v>229</v>
      </c>
      <c r="F610" s="11" t="s">
        <v>3</v>
      </c>
      <c r="G610" s="11" t="s">
        <v>45</v>
      </c>
      <c r="H610" s="14" t="s">
        <v>179</v>
      </c>
      <c r="I610" s="130" t="s">
        <v>242</v>
      </c>
      <c r="J610" s="130" t="s">
        <v>224</v>
      </c>
      <c r="K610" s="130" t="s">
        <v>225</v>
      </c>
      <c r="AB610" s="46"/>
      <c r="AC610" s="48"/>
      <c r="AD610" s="48"/>
      <c r="AE610" s="48"/>
      <c r="AF610" s="48"/>
      <c r="AG610" s="48"/>
      <c r="AH610" s="48"/>
      <c r="AI610" s="48"/>
      <c r="AJ610" s="48"/>
      <c r="AK610" s="48"/>
      <c r="AL610" s="48"/>
    </row>
    <row r="611" spans="1:38" x14ac:dyDescent="0.2">
      <c r="A611" s="58" t="s">
        <v>8</v>
      </c>
      <c r="B611" s="119">
        <f>IF($I$85="x","PAINISSA",IF($C$3&lt;=5,SUM($C$3,$I$2)-$C$120+IF($C$75="x",2)+$I$16-$B$10+$M$94+IF($C$77="x",2)-IF($C$78="x",4)-IF($I$78="x",1)-IF($C$79="x",4)+IF($C$80="x",1)-IF($I$77="x",2)-IF($I$90="x",2)+IF($I$83="x",2)-IF($C$75="x",4)-$C$112+IF(H611="x",1)+I611+$M$77+IF(H613="x",1)+IF(J613="x",1)+IF($M$76="x",2)+J611+IF($M$85="x",1)+IF($M$113="x",1)+IF($M$120="x",2)+IF($M$119="x",2)+IF($M$105="x",1)+IF($M$110="x",1)+IF($M$111="x",2)+IF($M$112="x",4)+IF($M$108="x",1)-IF($M$109="x",1)-IF($M$99="x",1)+IF($M$90="x",1),
IF(AND($C$3&gt;5,$C$3&lt;11),SUM($C$3,$I$2)-$C$120+IF($C$75="x",2)+$I$16-$B$10+$M$94+IF($C$77="x",2)-IF($C$78="x",4)-IF($I$78="x",1)-IF($C$79="x",4)+IF($C$80="x",1)-IF($I$77="x",2)-IF($I$90="x",2)+IF($I$83="x",2)-IF($C$83="x",4)-$C$112+IF(H611="x",1)+I611+$M$77+IF(H613="x",1)+IF(J613="x",1)+IF($M$76="x",2)+J611+IF($M$85="x",1)+IF($M$113="x",1)+IF($M$120="x",2)+IF($M$119="x",2)+IF($M$105="x",1)+IF($M$110="x",1)+IF($M$111="x",2)+IF($M$112="x",4)+IF($M$108="x",1)-IF($M$109="x",1)-IF($M$99="x",1)+IF($M$90="x",1)
&amp;"/"&amp;SUM($C$3,$I$2)-$C$120+IF($C$75="x",2)+$I$16-$B$10+$M$94+IF($C$77="x",2)-IF($C$78="x",4)-IF($I$78="x",1)-IF($C$79="x",4)+IF($C$80="x",1)-IF($I$77="x",2)-IF($I$90="x",2)+IF($I$83="x",2)-IF($C$83="x",4)-$C$112-5+IF(H611="x",1)+I611+$M$77+IF(H613="x",1)+IF(J613="x",1)+IF($M$76="x",2)+J611+IF($M$85="x",1)+IF($M$113="x",1)+IF($M$120="x",2)+IF($M$119="x",2)+IF($M$105="x",1)+IF($M$110="x",1)+IF($M$111="x",2)+IF($M$112="x",4)+IF($M$108="x",1)-IF($M$109="x",1)-IF($M$99="x",1)+IF($M$90="x",1),
IF(AND($C$3&gt;10,$C$3&lt;16),SUM($C$3,$I$2)-$C$120+IF($C$75="x",2)+$I$16-$B$10+$M$94+IF($C$77="x",2)-IF($C$78="x",4)-IF($I$78="x",1)-IF($C$79="x",4)+IF($C$80="x",1)-IF($I$77="x",2)-IF($I$90="x",2)+IF($I$83="x",2)-IF($C$83="x",4)-$C$112+#REF!+$M$77+IF($M$76="x",2)+#REF!+IF($M$85="x",1)+IF($M$113="x",1)+IF($M$120="x",2)+IF($M$119="x",2)+IF($M$105="x",1)+IF($M$110="x",1)+IF($M$111="x",2)+IF($M$112="x",4)+IF($M$108="x",1)-IF($M$109="x",1)+IF($M$99="x",20)-IF($M$99="x",1)+IF($M$90="x",1)
&amp;"/"&amp;SUM($C$3,$I$2)-$C$120+IF($C$75="x",2)+$I$16-$B$10+$M$94+IF($C$77="x",2)-IF($C$78="x",4)-IF($I$78="x",1)-IF($C$79="x",4)+IF($C$80="x",1)-IF($I$77="x",2)-IF($I$90="x",2)+IF($I$83="x",2)-IF($C$83="x",4)-$C$112-5+IF(H611="x",1)+I611+$M$77+IF(H613="x",1)+IF(J613="x",1)+IF($M$76="x",2)+J611+IF($M$85="x",1)+IF($M$113="x",1)+IF($M$120="x",2)+IF($M$119="x",2)+IF($M$105="x",1)+IF($M$110="x",1)+IF($M$111="x",2)+IF($M$112="x",4)+IF($M$108="x",1)-IF($M$109="x",1)-IF($M$99="x",1)+IF($M$90="x",1)
&amp;"/"&amp;SUM($C$3,$I$2)-$C$120+IF($C$75="x",2)+$I$16-$B$10+$M$94+IF($C$77="x",2)-IF($C$78="x",4)-IF($I$78="x",1)-IF($C$79="x",4)+IF($C$80="x",1)-IF($I$77="x",2)-IF($I$90="x",2)+IF($I$83="x",2)-IF($C$83="x",4)-$C$112-10+IF(H611="x",1)+I611+$M$77+IF(H613="x",1)+IF(J613="x",1)+IF($M$76="x",2)+J611+IF($M$85="x",1)+IF($M$113="x",1)+IF($M$120="x",2)+IF($M$119="x",2)+IF($M$105="x",1)+IF($M$110="x",1)+IF($M$111="x",2)+IF($M$112="x",4)+IF($M$108="x",1)-IF($M$109="x",1)-IF($M$99="x",1)+IF($M$90="x",1),
IF(AND($C$3&gt;15),SUM($C$3,$I$2)-$C$120+IF($C$75="x",2)+$I$16-$B$10+$M$94+IF($C$77="x",2)-IF($C$78="x",4)-IF($I$78="x",1)-IF($C$79="x",4)+IF($C$80="x",1)-IF($I$77="x",2)-IF($I$90="x",2)+IF($I$83="x",2)-IF($C$83="x",4)-$C$112+IF(H611="x",1)+I611+$M$77+IF(H613="x",1)+IF(J613="x",1)+IF($M$76="x",2)+J611+IF($M$85="x",1)+IF($M$113="x",1)+IF($M$120="x",2)+IF($M$119="x",2)+IF($M$105="x",1)+IF($M$110="x",1)+IF($M$111="x",2)+IF($M$112="x",4)+IF($M$108="x",1)-IF($M$109="x",1)-IF($M$99="x",1)+IF($M$90="x",1)
&amp;"/"&amp;SUM($C$3,$I$2)-$C$120+IF($C$75="x",2)+$I$16-$B$10+$M$94+IF($C$77="x",2)-IF($C$78="x",4)-IF($I$78="x",1)-IF($C$79="x",4)+IF($C$80="x",1)-IF($I$77="x",2)-IF($I$90="x",2)+IF($I$83="x",2)-IF($C$83="x",4)-$C$112-5+IF(H611="x",1)+I611+$M$77+IF(H613="x",1)+IF(J613="x",1)+IF($M$76="x",2)+J611
+IF($M$85="x",1)+IF($M$113="x",1)+IF($M$120="x",2)+IF($M$119="x",2)+IF($M$105="x",1)+IF($M$110="x",1)+IF($M$111="x",2)+IF($M$112="x",4)+IF($M$108="x",1)-IF($M$109="x",1)-IF($M$99="x",1)+IF($M$90="x",1)
&amp;"/"&amp;SUM($C$3,$I$2)-$C$120+IF($C$75="x",2)+$I$16-$B$10+$M$94+IF($C$77="x",2)-IF($C$78="x",4)-IF($I$78="x",1)-IF($C$79="x",4)+IF($C$80="x",1)-IF($I$77="x",2)-IF($I$90="x",2)+IF($I$83="x",2)-IF($C$83="x",4)-$C$112-10+IF(H611="x",1)+I611+$M$77+IF(H613="x",1)+IF(J613="x",1)+IF($M$76="x",2)+J611+IF($M$85="x",1)+IF($M$113="x",1)+IF($M$120="x",2)+IF($M$119="x",2)+IF($M$105="x",1)+IF($M$110="x",1)+IF($M$111="x",2)+IF($M$112="x",4)+IF($M$108="x",1)-IF($M$109="x",1)-IF($M$99="x",1)+IF($M$90="x",1)
&amp;"/"&amp;SUM($C$3,$I$2)-$C$120+IF($C$75="x",2)+$I$16-$B$10+$M$94+IF($C$77="x",2)-IF($C$78="x",4)-IF($I$78="x",1)-IF($C$79="x",4)+IF($C$80="x",1)-IF($I$77="x",2)-IF($I$90="x",2)+IF($I$83="x",2)-IF($C$83="x",4)-$C$112-15+IF(H611="x",1)+I611+$M$77+IF(H613="x",1)+IF(J613="x",1)+IF($M$76="x",2)+J611+IF($M$85="x",1)+IF($M$113="x",1)+IF($M$120="x",2)+IF($M$119="x",2)+IF($M$105="x",1)+IF($M$110="x",1)+IF($M$111="x",2)+IF($M$112="x",4)+IF($M$108="x",1)-IF($M$109="x",1)-IF($M$99="x",1)+IF($M$90="x",1))))))</f>
        <v>0</v>
      </c>
      <c r="C611" s="114" t="str">
        <f>_xlfn.IFS($C$7="Minimaalinen","1n2",$C$7="Taskukokoinen","1n3",$C$7="Hyvin pieni","1n4",$C$7="Pieni","1n6",$C$7="Keskikokoinen","2n4",$C$7="Iso","2n6",$C$7="Valtava","3n6",$C$7="Suunnaton","4n6",$C$7="Giganttinen","6n6")</f>
        <v>2n4</v>
      </c>
      <c r="D611" s="113">
        <f>IF($I$2&lt;0,$I$2,INT($I$2*1.5))+($C$120*2)+I611+$M$77+IF(I613="x",2)+IF(K613="x",2)+IF($M$119="x",2)+IF($M$108="x",1)+$M$94-IF($M$109="x",1)+K611</f>
        <v>0</v>
      </c>
      <c r="E611" s="114" t="str">
        <f>_xlfn.IFS($C$7="Minimaalinen","3n2",$C$7="Taskukokoinen","3n3",$C$7="Hyvin pieni","3n4",$C$7="Pieni","3n6",$C$7="Keskikokoinen","6n4",$C$7="Iso","6n6",$C$7="Valtava","9n6",$C$7="Suunnaton","12n6",$C$7="Giganttinen","18n6")</f>
        <v>6n4</v>
      </c>
      <c r="F611" s="120">
        <f>SUM(D611*3)</f>
        <v>0</v>
      </c>
      <c r="G611" s="120" t="str">
        <f>(IF($I$89="x","50 %","")&amp;(IF($C$81="x","20 %",""))&amp;(IF($C$82="x","50 %","")))</f>
        <v/>
      </c>
      <c r="H611" s="28"/>
      <c r="I611" s="17">
        <v>0</v>
      </c>
      <c r="J611" s="17">
        <v>0</v>
      </c>
      <c r="K611" s="17">
        <v>0</v>
      </c>
      <c r="AB611" s="59"/>
      <c r="AC611" s="51"/>
      <c r="AD611" s="49"/>
      <c r="AE611" s="51"/>
      <c r="AF611" s="49"/>
      <c r="AG611" s="49"/>
      <c r="AH611" s="49"/>
      <c r="AI611" s="40"/>
      <c r="AJ611" s="40"/>
      <c r="AK611" s="40"/>
      <c r="AL611" s="40"/>
    </row>
    <row r="612" spans="1:38" x14ac:dyDescent="0.2">
      <c r="A612" s="31" t="s">
        <v>240</v>
      </c>
      <c r="B612" s="15"/>
      <c r="C612" s="15"/>
      <c r="D612" s="15"/>
      <c r="F612" s="15"/>
      <c r="G612" s="15"/>
      <c r="H612" s="14" t="s">
        <v>220</v>
      </c>
      <c r="I612" s="14" t="s">
        <v>221</v>
      </c>
      <c r="J612" s="14" t="s">
        <v>222</v>
      </c>
      <c r="K612" s="14" t="s">
        <v>223</v>
      </c>
      <c r="AB612" s="62"/>
      <c r="AC612" s="53"/>
      <c r="AD612" s="49"/>
      <c r="AE612" s="51"/>
      <c r="AF612" s="49"/>
      <c r="AG612" s="49"/>
      <c r="AH612" s="53"/>
      <c r="AI612" s="48"/>
      <c r="AJ612" s="48"/>
      <c r="AK612" s="48"/>
      <c r="AL612" s="48"/>
    </row>
    <row r="613" spans="1:38" x14ac:dyDescent="0.2">
      <c r="A613" s="15" t="str">
        <f>_xlfn.IFS($C$7="Minimaalinen","0 j",$C$7="Taskukokoinen","0 j",$C$7="Hyvin pieni","5 j",$C$7="Pieni","10 j",$C$7="Keskikokoinen","10 j",$C$7="Iso","20 j",$C$7="Valtava","30 j",$C$7="Suunnaton","40 j",$C$7="Giganttinen","60 j")</f>
        <v>10 j</v>
      </c>
      <c r="B613" s="15"/>
      <c r="C613" s="15"/>
      <c r="D613" s="15"/>
      <c r="F613" s="15"/>
      <c r="G613" s="15"/>
      <c r="H613" s="28"/>
      <c r="I613" s="28"/>
      <c r="J613" s="28"/>
      <c r="K613" s="28"/>
      <c r="AB613" s="59"/>
      <c r="AC613" s="51"/>
      <c r="AD613" s="49"/>
      <c r="AE613" s="51"/>
      <c r="AF613" s="49"/>
      <c r="AG613" s="49"/>
      <c r="AH613" s="49"/>
      <c r="AI613" s="40"/>
      <c r="AJ613" s="40"/>
      <c r="AK613" s="40"/>
      <c r="AL613" s="40"/>
    </row>
    <row r="614" spans="1:38" x14ac:dyDescent="0.2">
      <c r="B614" s="15"/>
      <c r="C614" s="15"/>
      <c r="D614" s="15"/>
      <c r="F614" s="15"/>
      <c r="G614" s="15"/>
      <c r="H614" s="15"/>
      <c r="I614" s="15"/>
      <c r="AB614" s="62"/>
      <c r="AC614" s="53"/>
      <c r="AD614" s="49"/>
      <c r="AE614" s="51"/>
      <c r="AF614" s="49"/>
      <c r="AG614" s="49"/>
      <c r="AH614" s="53"/>
      <c r="AI614" s="48"/>
      <c r="AJ614" s="48"/>
    </row>
    <row r="615" spans="1:38" x14ac:dyDescent="0.2">
      <c r="A615" s="25"/>
      <c r="B615" s="25"/>
      <c r="C615" s="25"/>
      <c r="D615" s="25"/>
      <c r="E615" s="25"/>
      <c r="F615" s="25"/>
      <c r="G615" s="25"/>
      <c r="H615" s="25"/>
      <c r="I615" s="25"/>
      <c r="J615" s="25"/>
      <c r="K615" s="25"/>
      <c r="AB615" s="59"/>
      <c r="AC615" s="51"/>
      <c r="AD615" s="49"/>
      <c r="AE615" s="51"/>
      <c r="AF615" s="49"/>
      <c r="AG615" s="49"/>
      <c r="AH615" s="49"/>
      <c r="AI615" s="40"/>
      <c r="AJ615" s="40"/>
      <c r="AL615" s="50"/>
    </row>
    <row r="616" spans="1:38" x14ac:dyDescent="0.2">
      <c r="A616" s="34" t="s">
        <v>260</v>
      </c>
      <c r="B616" s="11" t="s">
        <v>1</v>
      </c>
      <c r="C616" s="11" t="s">
        <v>2</v>
      </c>
      <c r="D616" s="11" t="s">
        <v>3</v>
      </c>
      <c r="E616" s="11" t="s">
        <v>229</v>
      </c>
      <c r="F616" s="11" t="s">
        <v>3</v>
      </c>
      <c r="G616" s="11" t="s">
        <v>45</v>
      </c>
      <c r="H616" s="14" t="s">
        <v>179</v>
      </c>
      <c r="I616" s="130" t="s">
        <v>242</v>
      </c>
      <c r="J616" s="130" t="s">
        <v>224</v>
      </c>
      <c r="K616" s="130" t="s">
        <v>225</v>
      </c>
    </row>
    <row r="617" spans="1:38" x14ac:dyDescent="0.2">
      <c r="A617" s="58" t="s">
        <v>8</v>
      </c>
      <c r="B617" s="119">
        <f>IF($I$85="x","PAINISSA",IF($C$3&lt;=5,SUM($C$3,$I$2)-$C$120+IF($C$75="x",2)+$I$16-$B$10+$M$94+IF($C$77="x",2)-IF($C$78="x",4)-IF($I$78="x",1)-IF($C$79="x",4)+IF($C$80="x",1)-IF($I$77="x",2)-IF($I$90="x",2)+IF($I$83="x",2)-IF($C$75="x",4)-$C$112+IF(H617="x",1)+I617+$M$77+IF(H619="x",1)+IF(J619="x",1)+IF($M$76="x",2)+J617+IF($M$85="x",1)+IF($M$113="x",1)+IF($M$120="x",2)+IF($M$119="x",2)+IF($M$105="x",1)+IF($M$110="x",1)+IF($M$111="x",2)+IF($M$112="x",4)+IF($M$108="x",1)-IF($M$109="x",1)-IF($M$99="x",1)+IF($M$90="x",1),
IF(AND($C$3&gt;5,$C$3&lt;11),SUM($C$3,$I$2)-$C$120+IF($C$75="x",2)+$I$16-$B$10+$M$94+IF($C$77="x",2)-IF($C$78="x",4)-IF($I$78="x",1)-IF($C$79="x",4)+IF($C$80="x",1)-IF($I$77="x",2)-IF($I$90="x",2)+IF($I$83="x",2)-IF($C$83="x",4)-$C$112+IF(H617="x",1)+I617+$M$77+IF(H619="x",1)+IF(J619="x",1)+IF($M$76="x",2)+J617+IF($M$85="x",1)+IF($M$113="x",1)+IF($M$120="x",2)+IF($M$119="x",2)+IF($M$105="x",1)+IF($M$110="x",1)+IF($M$111="x",2)+IF($M$112="x",4)+IF($M$108="x",1)-IF($M$109="x",1)-IF($M$99="x",1)+IF($M$90="x",1)
&amp;"/"&amp;SUM($C$3,$I$2)-$C$120+IF($C$75="x",2)+$I$16-$B$10+$M$94+IF($C$77="x",2)-IF($C$78="x",4)-IF($I$78="x",1)-IF($C$79="x",4)+IF($C$80="x",1)-IF($I$77="x",2)-IF($I$90="x",2)+IF($I$83="x",2)-IF($C$83="x",4)-$C$112-5+IF(H617="x",1)+I617+$M$77+IF(H619="x",1)+IF(J619="x",1)+IF($M$76="x",2)+J617+IF($M$85="x",1)+IF($M$113="x",1)+IF($M$120="x",2)+IF($M$119="x",2)+IF($M$105="x",1)+IF($M$110="x",1)+IF($M$111="x",2)+IF($M$112="x",4)+IF($M$108="x",1)-IF($M$109="x",1)-IF($M$99="x",1)+IF($M$90="x",1),
IF(AND($C$3&gt;10,$C$3&lt;16),SUM($C$3,$I$2)-$C$120+IF($C$75="x",2)+$I$16-$B$10+$M$94+IF($C$77="x",2)-IF($C$78="x",4)-IF($I$78="x",1)-IF($C$79="x",4)+IF($C$80="x",1)-IF($I$77="x",2)-IF($I$90="x",2)+IF($I$83="x",2)-IF($C$83="x",4)-$C$112+#REF!+$M$77+IF($M$76="x",2)+#REF!+IF($M$85="x",1)+IF($M$113="x",1)+IF($M$120="x",2)+IF($M$119="x",2)+IF($M$105="x",1)+IF($M$110="x",1)+IF($M$111="x",2)+IF($M$112="x",4)+IF($M$108="x",1)-IF($M$109="x",1)+IF($M$99="x",20)-IF($M$99="x",1)+IF($M$90="x",1)
&amp;"/"&amp;SUM($C$3,$I$2)-$C$120+IF($C$75="x",2)+$I$16-$B$10+$M$94+IF($C$77="x",2)-IF($C$78="x",4)-IF($I$78="x",1)-IF($C$79="x",4)+IF($C$80="x",1)-IF($I$77="x",2)-IF($I$90="x",2)+IF($I$83="x",2)-IF($C$83="x",4)-$C$112-5+IF(H617="x",1)+I617+$M$77+IF(H619="x",1)+IF(J619="x",1)+IF($M$76="x",2)+J617+IF($M$85="x",1)+IF($M$113="x",1)+IF($M$120="x",2)+IF($M$119="x",2)+IF($M$105="x",1)+IF($M$110="x",1)+IF($M$111="x",2)+IF($M$112="x",4)+IF($M$108="x",1)-IF($M$109="x",1)-IF($M$99="x",1)+IF($M$90="x",1)
&amp;"/"&amp;SUM($C$3,$I$2)-$C$120+IF($C$75="x",2)+$I$16-$B$10+$M$94+IF($C$77="x",2)-IF($C$78="x",4)-IF($I$78="x",1)-IF($C$79="x",4)+IF($C$80="x",1)-IF($I$77="x",2)-IF($I$90="x",2)+IF($I$83="x",2)-IF($C$83="x",4)-$C$112-10+IF(H617="x",1)+I617+$M$77+IF(H619="x",1)+IF(J619="x",1)+IF($M$76="x",2)+J617+IF($M$85="x",1)+IF($M$113="x",1)+IF($M$120="x",2)+IF($M$119="x",2)+IF($M$105="x",1)+IF($M$110="x",1)+IF($M$111="x",2)+IF($M$112="x",4)+IF($M$108="x",1)-IF($M$109="x",1)-IF($M$99="x",1)+IF($M$90="x",1),
IF(AND($C$3&gt;15),SUM($C$3,$I$2)-$C$120+IF($C$75="x",2)+$I$16-$B$10+$M$94+IF($C$77="x",2)-IF($C$78="x",4)-IF($I$78="x",1)-IF($C$79="x",4)+IF($C$80="x",1)-IF($I$77="x",2)-IF($I$90="x",2)+IF($I$83="x",2)-IF($C$83="x",4)-$C$112+IF(H617="x",1)+I617+$M$77+IF(H619="x",1)+IF(J619="x",1)+IF($M$76="x",2)+J617+IF($M$85="x",1)+IF($M$113="x",1)+IF($M$120="x",2)+IF($M$119="x",2)+IF($M$105="x",1)+IF($M$110="x",1)+IF($M$111="x",2)+IF($M$112="x",4)+IF($M$108="x",1)-IF($M$109="x",1)-IF($M$99="x",1)+IF($M$90="x",1)
&amp;"/"&amp;SUM($C$3,$I$2)-$C$120+IF($C$75="x",2)+$I$16-$B$10+$M$94+IF($C$77="x",2)-IF($C$78="x",4)-IF($I$78="x",1)-IF($C$79="x",4)+IF($C$80="x",1)-IF($I$77="x",2)-IF($I$90="x",2)+IF($I$83="x",2)-IF($C$83="x",4)-$C$112-5+IF(H617="x",1)+I617+$M$77+IF(H619="x",1)+IF(J619="x",1)+IF($M$76="x",2)+J617
+IF($M$85="x",1)+IF($M$113="x",1)+IF($M$120="x",2)+IF($M$119="x",2)+IF($M$105="x",1)+IF($M$110="x",1)+IF($M$111="x",2)+IF($M$112="x",4)+IF($M$108="x",1)-IF($M$109="x",1)-IF($M$99="x",1)+IF($M$90="x",1)
&amp;"/"&amp;SUM($C$3,$I$2)-$C$120+IF($C$75="x",2)+$I$16-$B$10+$M$94+IF($C$77="x",2)-IF($C$78="x",4)-IF($I$78="x",1)-IF($C$79="x",4)+IF($C$80="x",1)-IF($I$77="x",2)-IF($I$90="x",2)+IF($I$83="x",2)-IF($C$83="x",4)-$C$112-10+IF(H617="x",1)+I617+$M$77+IF(H619="x",1)+IF(J619="x",1)+IF($M$76="x",2)+J617+IF($M$85="x",1)+IF($M$113="x",1)+IF($M$120="x",2)+IF($M$119="x",2)+IF($M$105="x",1)+IF($M$110="x",1)+IF($M$111="x",2)+IF($M$112="x",4)+IF($M$108="x",1)-IF($M$109="x",1)-IF($M$99="x",1)+IF($M$90="x",1)
&amp;"/"&amp;SUM($C$3,$I$2)-$C$120+IF($C$75="x",2)+$I$16-$B$10+$M$94+IF($C$77="x",2)-IF($C$78="x",4)-IF($I$78="x",1)-IF($C$79="x",4)+IF($C$80="x",1)-IF($I$77="x",2)-IF($I$90="x",2)+IF($I$83="x",2)-IF($C$83="x",4)-$C$112-15+IF(H617="x",1)+I617+$M$77+IF(H619="x",1)+IF(J619="x",1)+IF($M$76="x",2)+J617+IF($M$85="x",1)+IF($M$113="x",1)+IF($M$120="x",2)+IF($M$119="x",2)+IF($M$105="x",1)+IF($M$110="x",1)+IF($M$111="x",2)+IF($M$112="x",4)+IF($M$108="x",1)-IF($M$109="x",1)-IF($M$99="x",1)+IF($M$90="x",1))))))</f>
        <v>0</v>
      </c>
      <c r="C617" s="114" t="str">
        <f>_xlfn.IFS($C$7="Minimaalinen","1n2",$C$7="Taskukokoinen","1n3",$C$7="Hyvin pieni","1n4",$C$7="Pieni","1n6",$C$7="Keskikokoinen","1n8",$C$7="Iso","2n6",$C$7="Valtava","3n6",$C$7="Suunnaton","4n6",$C$7="Giganttinen","6n6")</f>
        <v>1n8</v>
      </c>
      <c r="D617" s="113">
        <f>IF($I$2&lt;0,$I$2,INT($I$2*1.5))+($C$120*2)+I617+$M$77+IF(I619="x",2)+IF(K619="x",2)+IF($M$119="x",2)+IF($M$108="x",1)+$M$94-IF($M$109="x",1)+K617</f>
        <v>0</v>
      </c>
      <c r="E617" s="114" t="str">
        <f>_xlfn.IFS($C$7="Minimaalinen","3n2",$C$7="Taskukokoinen","3n3",$C$7="Hyvin pieni","3n4",$C$7="Pieni","3n6",$C$7="Keskikokoinen","3n8",$C$7="Iso","6n6",$C$7="Valtava","9n6",$C$7="Suunnaton","12n6",$C$7="Giganttinen","18n6")</f>
        <v>3n8</v>
      </c>
      <c r="F617" s="120">
        <f>SUM(D617*3)</f>
        <v>0</v>
      </c>
      <c r="G617" s="120" t="str">
        <f>(IF($I$89="x","50 %","")&amp;(IF($C$81="x","20 %",""))&amp;(IF($C$82="x","50 %","")))</f>
        <v/>
      </c>
      <c r="H617" s="28"/>
      <c r="I617" s="17">
        <v>0</v>
      </c>
      <c r="J617" s="17">
        <v>0</v>
      </c>
      <c r="K617" s="17">
        <v>0</v>
      </c>
    </row>
    <row r="618" spans="1:38" x14ac:dyDescent="0.2">
      <c r="A618" s="31" t="s">
        <v>240</v>
      </c>
      <c r="B618" s="15"/>
      <c r="C618" s="15"/>
      <c r="D618" s="15"/>
      <c r="F618" s="15"/>
      <c r="G618" s="15"/>
      <c r="H618" s="14" t="s">
        <v>220</v>
      </c>
      <c r="I618" s="14" t="s">
        <v>221</v>
      </c>
      <c r="J618" s="14" t="s">
        <v>222</v>
      </c>
      <c r="K618" s="14" t="s">
        <v>223</v>
      </c>
      <c r="AB618" s="46"/>
      <c r="AC618" s="48"/>
      <c r="AD618" s="48"/>
      <c r="AE618" s="48"/>
      <c r="AF618" s="48"/>
      <c r="AG618" s="48"/>
      <c r="AH618" s="48"/>
      <c r="AI618" s="48"/>
      <c r="AJ618" s="48"/>
      <c r="AK618" s="48"/>
      <c r="AL618" s="48"/>
    </row>
    <row r="619" spans="1:38" x14ac:dyDescent="0.2">
      <c r="A619" s="15" t="str">
        <f>_xlfn.IFS($C$7="Minimaalinen","0 j",$C$7="Taskukokoinen","0 j",$C$7="Hyvin pieni","5 j",$C$7="Pieni","10 j",$C$7="Keskikokoinen","10 j",$C$7="Iso","20 j",$C$7="Valtava","30 j",$C$7="Suunnaton","40 j",$C$7="Giganttinen","60 j")</f>
        <v>10 j</v>
      </c>
      <c r="B619" s="15"/>
      <c r="C619" s="15"/>
      <c r="D619" s="15"/>
      <c r="F619" s="15"/>
      <c r="G619" s="15"/>
      <c r="H619" s="28"/>
      <c r="I619" s="28"/>
      <c r="J619" s="28"/>
      <c r="K619" s="28"/>
      <c r="AB619" s="59"/>
      <c r="AC619" s="51"/>
      <c r="AD619" s="49"/>
      <c r="AE619" s="51"/>
      <c r="AF619" s="49"/>
      <c r="AG619" s="49"/>
      <c r="AH619" s="49"/>
      <c r="AI619" s="40"/>
      <c r="AJ619" s="40"/>
      <c r="AK619" s="40"/>
      <c r="AL619" s="40"/>
    </row>
    <row r="620" spans="1:38" x14ac:dyDescent="0.2">
      <c r="A620" s="25"/>
      <c r="B620" s="25"/>
      <c r="C620" s="25"/>
      <c r="D620" s="25"/>
      <c r="E620" s="25"/>
      <c r="F620" s="25"/>
      <c r="G620" s="25"/>
      <c r="H620" s="25"/>
      <c r="I620" s="25"/>
      <c r="J620" s="25"/>
      <c r="K620" s="25"/>
      <c r="AB620" s="62"/>
      <c r="AC620" s="53"/>
      <c r="AD620" s="49"/>
      <c r="AE620" s="51"/>
      <c r="AF620" s="49"/>
      <c r="AG620" s="49"/>
      <c r="AH620" s="53"/>
      <c r="AI620" s="48"/>
      <c r="AJ620" s="48"/>
      <c r="AL620" s="48"/>
    </row>
    <row r="621" spans="1:38" x14ac:dyDescent="0.2">
      <c r="A621" s="25"/>
      <c r="B621" s="25"/>
      <c r="C621" s="25"/>
      <c r="D621" s="15"/>
      <c r="F621" s="25"/>
      <c r="G621" s="25"/>
      <c r="H621" s="25"/>
      <c r="I621" s="25"/>
      <c r="J621" s="25"/>
      <c r="K621" s="25"/>
      <c r="AB621" s="59"/>
      <c r="AC621" s="51"/>
      <c r="AD621" s="49"/>
      <c r="AE621" s="51"/>
      <c r="AF621" s="49"/>
      <c r="AG621" s="49"/>
      <c r="AH621" s="49"/>
      <c r="AI621" s="40"/>
      <c r="AJ621" s="40"/>
      <c r="AK621" s="50"/>
      <c r="AL621" s="40"/>
    </row>
    <row r="622" spans="1:38" x14ac:dyDescent="0.2">
      <c r="A622" s="34" t="s">
        <v>261</v>
      </c>
      <c r="B622" s="11" t="s">
        <v>1</v>
      </c>
      <c r="C622" s="11" t="s">
        <v>2</v>
      </c>
      <c r="D622" s="11" t="s">
        <v>3</v>
      </c>
      <c r="E622" s="11" t="s">
        <v>229</v>
      </c>
      <c r="F622" s="11" t="s">
        <v>3</v>
      </c>
      <c r="G622" s="11" t="s">
        <v>45</v>
      </c>
      <c r="H622" s="14" t="s">
        <v>179</v>
      </c>
      <c r="I622" s="130" t="s">
        <v>242</v>
      </c>
      <c r="J622" s="130" t="s">
        <v>224</v>
      </c>
      <c r="K622" s="130" t="s">
        <v>225</v>
      </c>
      <c r="AB622" s="62"/>
      <c r="AC622" s="53"/>
      <c r="AD622" s="49"/>
      <c r="AE622" s="51"/>
      <c r="AF622" s="49"/>
      <c r="AG622" s="49"/>
      <c r="AH622" s="53"/>
      <c r="AI622" s="48"/>
      <c r="AJ622" s="48"/>
    </row>
    <row r="623" spans="1:38" x14ac:dyDescent="0.2">
      <c r="A623" s="58" t="s">
        <v>8</v>
      </c>
      <c r="B623" s="119">
        <f>IF($I$85="x","PAINISSA",IF($C$3&lt;=5,$C$3+IF($C$87="x",$I$3,$I$2)-$C$120+IF($C$75="x",2)+$I$16-$B$10+$M$94+IF($C$77="x",2)-IF($C$78="x",4)-IF($I$78="x",1)-IF($C$79="x",4)+IF($C$80="x",1)-IF($I$77="x",2)-IF($I$90="x",2)+IF($I$83="x",2)-IF($C$75="x",4)-$C$112+IF(H623="x",1)+I623+$M$77+IF(H625="x",1)+IF(J625="x",1)+IF($M$76="x",2)+J623+IF($M$85="x",1)+IF($M$113="x",1)+IF($M$120="x",2)+IF($M$119="x",2)+IF($M$105="x",1)+IF($M$110="x",1)+IF($M$111="x",2)+IF($M$112="x",4)+IF($M$108="x",1)-IF($M$109="x",1)-IF($M$99="x",1)+IF($M$90="x",1),
IF(AND($C$3&gt;5,$C$3&lt;11),$C$3+IF($C$87="x",$I$3,$I$2)-$C$120+IF($C$75="x",2)+$I$16-$B$10+$M$94+IF($C$77="x",2)-IF($C$78="x",4)-IF($I$78="x",1)-IF($C$79="x",4)+IF($C$80="x",1)-IF($I$77="x",2)-IF($I$90="x",2)+IF($I$83="x",2)-IF($C$83="x",4)-$C$112+IF(H623="x",1)+I623+$M$77+IF(H625="x",1)+IF(J625="x",1)+IF($M$76="x",2)+J623+IF($M$85="x",1)+IF($M$113="x",1)+IF($M$120="x",2)+IF($M$119="x",2)+IF($M$105="x",1)+IF($M$110="x",1)+IF($M$111="x",2)+IF($M$112="x",4)+IF($M$108="x",1)-IF($M$109="x",1)-IF($M$99="x",1)+IF($M$90="x",1)
&amp;"/"&amp;$C$3+IF($C$87="x",$I$3,$I$2)-$C$120+IF($C$75="x",2)+$I$16-$B$10+$M$94+IF($C$77="x",2)-IF($C$78="x",4)-IF($I$78="x",1)-IF($C$79="x",4)+IF($C$80="x",1)-IF($I$77="x",2)-IF($I$90="x",2)+IF($I$83="x",2)-IF($C$83="x",4)-$C$112-5+IF(H623="x",1)+I623+$M$77+IF(H625="x",1)+IF(J625="x",1)+IF($M$76="x",2)+J623+IF($M$85="x",1)+IF($M$113="x",1)+IF($M$120="x",2)+IF($M$119="x",2)+IF($M$105="x",1)+IF($M$110="x",1)+IF($M$111="x",2)+IF($M$112="x",4)+IF($M$108="x",1)-IF($M$109="x",1)-IF($M$99="x",1)+IF($M$90="x",1),
IF(AND($C$3&gt;10,$C$3&lt;16),$C$3+IF($C$87="x",$I$3,$I$2)-$C$120+IF($C$75="x",2)+$I$16-$B$10+$M$94+IF($C$77="x",2)-IF($C$78="x",4)-IF($I$78="x",1)-IF($C$79="x",4)+IF($C$80="x",1)-IF($I$77="x",2)-IF($I$90="x",2)+IF($I$83="x",2)-IF($C$83="x",4)-$C$112+#REF!+$M$77+IF($M$76="x",2)+#REF!+IF($M$85="x",1)+IF($M$113="x",1)+IF($M$120="x",2)+IF($M$119="x",2)+IF($M$105="x",1)+IF($M$110="x",1)+IF($M$111="x",2)+IF($M$112="x",4)+IF($M$108="x",1)-IF($M$109="x",1)+IF($M$99="x",20)-IF($M$99="x",1)+IF($M$90="x",1)
&amp;"/"&amp;$C$3+IF($C$87="x",$I$3,$I$2)-$C$120+IF($C$75="x",2)+$I$16-$B$10+$M$94+IF($C$77="x",2)-IF($C$78="x",4)-IF($I$78="x",1)-IF($C$79="x",4)+IF($C$80="x",1)-IF($I$77="x",2)-IF($I$90="x",2)+IF($I$83="x",2)-IF($C$83="x",4)-$C$112-5+IF(H623="x",1)+I623+$M$77+IF(H625="x",1)+IF(J625="x",1)+IF($M$76="x",2)+J623+IF($M$85="x",1)+IF($M$113="x",1)+IF($M$120="x",2)+IF($M$119="x",2)+IF($M$105="x",1)+IF($M$110="x",1)+IF($M$111="x",2)+IF($M$112="x",4)+IF($M$108="x",1)-IF($M$109="x",1)-IF($M$99="x",1)+IF($M$90="x",1)
&amp;"/"&amp;$C$3+IF($C$87="x",$I$3,$I$2)-$C$120+IF($C$75="x",2)+$I$16-$B$10+$M$94+IF($C$77="x",2)-IF($C$78="x",4)-IF($I$78="x",1)-IF($C$79="x",4)+IF($C$80="x",1)-IF($I$77="x",2)-IF($I$90="x",2)+IF($I$83="x",2)-IF($C$83="x",4)-$C$112-10+IF(H623="x",1)+I623+$M$77+IF(H625="x",1)+IF(J625="x",1)+IF($M$76="x",2)+J623+IF($M$85="x",1)+IF($M$113="x",1)+IF($M$120="x",2)+IF($M$119="x",2)+IF($M$105="x",1)+IF($M$110="x",1)+IF($M$111="x",2)+IF($M$112="x",4)+IF($M$108="x",1)-IF($M$109="x",1)-IF($M$99="x",1)+IF($M$90="x",1),
IF(AND($C$3&gt;15),$C$3+IF($C$87="x",$I$3,$I$2)-$C$120+IF($C$75="x",2)+$I$16-$B$10+$M$94+IF($C$77="x",2)-IF($C$78="x",4)-IF($I$78="x",1)-IF($C$79="x",4)+IF($C$80="x",1)-IF($I$77="x",2)-IF($I$90="x",2)+IF($I$83="x",2)-IF($C$83="x",4)-$C$112+IF(H623="x",1)+I623+$M$77+IF(H625="x",1)+IF(J625="x",1)+IF($M$76="x",2)+J623+IF($M$85="x",1)+IF($M$113="x",1)+IF($M$120="x",2)+IF($M$119="x",2)+IF($M$105="x",1)+IF($M$110="x",1)+IF($M$111="x",2)+IF($M$112="x",4)+IF($M$108="x",1)-IF($M$109="x",1)-IF($M$99="x",1)+IF($M$90="x",1)
&amp;"/"&amp;$C$3+IF($C$87="x",$I$3,$I$2)-$C$120+IF($C$75="x",2)+$I$16-$B$10+$M$94+IF($C$77="x",2)-IF($C$78="x",4)-IF($I$78="x",1)-IF($C$79="x",4)+IF($C$80="x",1)-IF($I$77="x",2)-IF($I$90="x",2)+IF($I$83="x",2)-IF($C$83="x",4)-$C$112-5+IF(H623="x",1)+I623+$M$77+IF(H625="x",1)+IF(J625="x",1)+IF($M$76="x",2)+J623
+IF($M$85="x",1)+IF($M$113="x",1)+IF($M$120="x",2)+IF($M$119="x",2)+IF($M$105="x",1)+IF($M$110="x",1)+IF($M$111="x",2)+IF($M$112="x",4)+IF($M$108="x",1)-IF($M$109="x",1)-IF($M$99="x",1)+IF($M$90="x",1)
&amp;"/"&amp;$C$3+IF($C$87="x",$I$3,$I$2)-$C$120+IF($C$75="x",2)+$I$16-$B$10+$M$94+IF($C$77="x",2)-IF($C$78="x",4)-IF($I$78="x",1)-IF($C$79="x",4)+IF($C$80="x",1)-IF($I$77="x",2)-IF($I$90="x",2)+IF($I$83="x",2)-IF($C$83="x",4)-$C$112-10+IF(H623="x",1)+I623+$M$77+IF(H625="x",1)+IF(J625="x",1)+IF($M$76="x",2)+J623+IF($M$85="x",1)+IF($M$113="x",1)+IF($M$120="x",2)+IF($M$119="x",2)+IF($M$105="x",1)+IF($M$110="x",1)+IF($M$111="x",2)+IF($M$112="x",4)+IF($M$108="x",1)-IF($M$109="x",1)-IF($M$99="x",1)+IF($M$90="x",1)
&amp;"/"&amp;$C$3+IF($C$87="x",$I$3,$I$2)-$C$120+IF($C$75="x",2)+$I$16-$B$10+$M$94+IF($C$77="x",2)-IF($C$78="x",4)-IF($I$78="x",1)-IF($C$79="x",4)+IF($C$80="x",1)-IF($I$77="x",2)-IF($I$90="x",2)+IF($I$83="x",2)-IF($C$83="x",4)-$C$112-15+IF(H623="x",1)+I623+$M$77+IF(H625="x",1)+IF(J625="x",1)+IF($M$76="x",2)+J623+IF($M$85="x",1)+IF($M$113="x",1)+IF($M$120="x",2)+IF($M$119="x",2)+IF($M$105="x",1)+IF($M$110="x",1)+IF($M$111="x",2)+IF($M$112="x",4)+IF($M$108="x",1)-IF($M$109="x",1)-IF($M$99="x",1)+IF($M$90="x",1))))))</f>
        <v>0</v>
      </c>
      <c r="C623" s="114" t="str">
        <f>_xlfn.IFS($C$7="Minimaalinen","1n2",$C$7="Taskukokoinen","1n3",$C$7="Hyvin pieni","1n4",$C$7="Pieni","1n6",$C$7="Keskikokoinen","2n4",$C$7="Iso","2n6",$C$7="Valtava","3n6",$C$7="Suunnaton","4n6",$C$7="Giganttinen","6n6")</f>
        <v>2n4</v>
      </c>
      <c r="D623" s="113">
        <f>IF($I$2&lt;0,$I$2,INT($I$2*1.5))+($C$120*2)+I623+$M$77+IF(I625="x",2)+IF(K625="x",2)+IF($M$119="x",2)+IF($M$108="x",1)+$M$94-IF($M$109="x",1)+K623</f>
        <v>0</v>
      </c>
      <c r="E623" s="114" t="str">
        <f>_xlfn.IFS($C$7="Minimaalinen","2n2",$C$7="Taskukokoinen","2n3",$C$7="Hyvin pieni","2n4",$C$7="Pieni","2n6",$C$7="Keskikokoinen","4n4",$C$7="Iso","4n6",$C$7="Valtava","6n6",$C$7="Suunnaton","8n6",$C$7="Giganttinen","12n6")</f>
        <v>4n4</v>
      </c>
      <c r="F623" s="120">
        <f>SUM(D623*2)</f>
        <v>0</v>
      </c>
      <c r="G623" s="120" t="str">
        <f>(IF($I$89="x","50 %","")&amp;(IF($C$81="x","20 %",""))&amp;(IF($C$82="x","50 %","")))</f>
        <v/>
      </c>
      <c r="H623" s="28"/>
      <c r="I623" s="17">
        <v>0</v>
      </c>
      <c r="J623" s="17">
        <v>0</v>
      </c>
      <c r="K623" s="17">
        <v>0</v>
      </c>
      <c r="AB623" s="59"/>
      <c r="AC623" s="51"/>
      <c r="AD623" s="49"/>
      <c r="AE623" s="51"/>
      <c r="AF623" s="49"/>
      <c r="AG623" s="49"/>
      <c r="AH623" s="49"/>
      <c r="AI623" s="40"/>
      <c r="AJ623" s="40"/>
      <c r="AL623" s="50"/>
    </row>
    <row r="624" spans="1:38" x14ac:dyDescent="0.2">
      <c r="A624" s="31" t="s">
        <v>240</v>
      </c>
      <c r="B624" s="15"/>
      <c r="C624" s="15"/>
      <c r="D624" s="15"/>
      <c r="F624" s="15"/>
      <c r="G624" s="15"/>
      <c r="H624" s="14" t="s">
        <v>220</v>
      </c>
      <c r="I624" s="14" t="s">
        <v>221</v>
      </c>
      <c r="J624" s="14" t="s">
        <v>222</v>
      </c>
      <c r="K624" s="14" t="s">
        <v>223</v>
      </c>
      <c r="AB624" s="62"/>
      <c r="AC624" s="53"/>
      <c r="AD624" s="49"/>
      <c r="AE624" s="51"/>
      <c r="AF624" s="49"/>
      <c r="AG624" s="49"/>
      <c r="AH624" s="53"/>
      <c r="AI624" s="48"/>
      <c r="AJ624" s="48"/>
      <c r="AK624" s="48"/>
      <c r="AL624" s="48"/>
    </row>
    <row r="625" spans="1:38" x14ac:dyDescent="0.2">
      <c r="A625" s="15" t="str">
        <f>_xlfn.IFS($C$7="Minimaalinen","0 j",$C$7="Taskukokoinen","0 j",$C$7="Hyvin pieni","5 j",$C$7="Pieni","10 j",$C$7="Keskikokoinen","10 j",$C$7="Iso","20 j",$C$7="Valtava","30 j",$C$7="Suunnaton","40 j",$C$7="Giganttinen","60 j")</f>
        <v>10 j</v>
      </c>
      <c r="B625" s="15"/>
      <c r="C625" s="15"/>
      <c r="D625" s="15"/>
      <c r="F625" s="15"/>
      <c r="G625" s="15"/>
      <c r="H625" s="28"/>
      <c r="I625" s="28"/>
      <c r="J625" s="28"/>
      <c r="K625" s="28"/>
      <c r="AB625" s="59"/>
      <c r="AC625" s="51"/>
      <c r="AD625" s="49"/>
      <c r="AE625" s="51"/>
      <c r="AF625" s="49"/>
      <c r="AG625" s="49"/>
      <c r="AH625" s="49"/>
      <c r="AI625" s="40"/>
      <c r="AJ625" s="40"/>
      <c r="AK625" s="40"/>
      <c r="AL625" s="40"/>
    </row>
    <row r="626" spans="1:38" x14ac:dyDescent="0.2">
      <c r="B626" s="15"/>
      <c r="C626" s="15"/>
      <c r="D626" s="15"/>
      <c r="F626" s="15"/>
      <c r="G626" s="82"/>
      <c r="H626" s="15"/>
      <c r="I626" s="15"/>
      <c r="AB626" s="46"/>
      <c r="AC626" s="53"/>
      <c r="AD626" s="49"/>
      <c r="AE626" s="51"/>
      <c r="AF626" s="49"/>
      <c r="AG626" s="49"/>
      <c r="AH626" s="53"/>
      <c r="AI626" s="48"/>
      <c r="AJ626" s="48"/>
    </row>
    <row r="627" spans="1:38" x14ac:dyDescent="0.2">
      <c r="B627" s="15"/>
      <c r="C627" s="15"/>
      <c r="D627" s="15"/>
      <c r="F627" s="15"/>
      <c r="G627" s="82"/>
      <c r="H627" s="82"/>
      <c r="K627" s="82"/>
      <c r="AB627" s="46"/>
      <c r="AC627" s="48"/>
      <c r="AD627" s="48"/>
      <c r="AE627" s="48"/>
      <c r="AF627" s="48"/>
      <c r="AG627" s="48"/>
      <c r="AH627" s="48"/>
      <c r="AI627" s="48"/>
      <c r="AJ627" s="48"/>
      <c r="AK627" s="48"/>
      <c r="AL627" s="48"/>
    </row>
    <row r="628" spans="1:38" x14ac:dyDescent="0.2">
      <c r="A628" s="34" t="s">
        <v>262</v>
      </c>
      <c r="B628" s="11" t="s">
        <v>1</v>
      </c>
      <c r="C628" s="11" t="s">
        <v>2</v>
      </c>
      <c r="D628" s="11" t="s">
        <v>3</v>
      </c>
      <c r="E628" s="11" t="s">
        <v>229</v>
      </c>
      <c r="F628" s="11" t="s">
        <v>3</v>
      </c>
      <c r="G628" s="11" t="s">
        <v>45</v>
      </c>
      <c r="H628" s="14" t="s">
        <v>179</v>
      </c>
      <c r="I628" s="130" t="s">
        <v>242</v>
      </c>
      <c r="J628" s="130" t="s">
        <v>224</v>
      </c>
      <c r="K628" s="130" t="s">
        <v>225</v>
      </c>
      <c r="AB628" s="59"/>
      <c r="AC628" s="51"/>
      <c r="AD628" s="49"/>
      <c r="AE628" s="51"/>
      <c r="AF628" s="49"/>
      <c r="AG628" s="49"/>
      <c r="AH628" s="49"/>
      <c r="AI628" s="40"/>
      <c r="AJ628" s="40"/>
      <c r="AK628" s="40"/>
      <c r="AL628" s="40"/>
    </row>
    <row r="629" spans="1:38" x14ac:dyDescent="0.2">
      <c r="A629" s="58" t="s">
        <v>8</v>
      </c>
      <c r="B629" s="119">
        <f>IF($I$85="x","PAINISSA",IF($C$3&lt;=5,SUM($C$3,$I$2)-$C$120+IF($C$75="x",2)+$I$16-$B$10+$M$94+IF($C$77="x",2)-IF($C$78="x",4)-IF($I$78="x",1)-IF($C$79="x",4)+IF($C$80="x",1)-IF($I$77="x",2)-IF($I$90="x",2)+IF($I$83="x",2)-IF($C$75="x",4)-$C$112+IF(H629="x",1)+I629+$M$77+IF(H631="x",1)+IF(J631="x",1)+IF($M$76="x",2)+J629+IF($M$85="x",1)+IF($M$113="x",1)+IF($M$120="x",2)+IF($M$119="x",2)+IF($M$105="x",1)+IF($M$110="x",1)+IF($M$111="x",2)+IF($M$112="x",4)+IF($M$108="x",1)-IF($M$109="x",1)-IF($M$99="x",1)+IF($M$90="x",1),
IF(AND($C$3&gt;5,$C$3&lt;11),SUM($C$3,$I$2)-$C$120+IF($C$75="x",2)+$I$16-$B$10+$M$94+IF($C$77="x",2)-IF($C$78="x",4)-IF($I$78="x",1)-IF($C$79="x",4)+IF($C$80="x",1)-IF($I$77="x",2)-IF($I$90="x",2)+IF($I$83="x",2)-IF($C$83="x",4)-$C$112+IF(H629="x",1)+I629+$M$77+IF(H631="x",1)+IF(J631="x",1)+IF($M$76="x",2)+J629+IF($M$85="x",1)+IF($M$113="x",1)+IF($M$120="x",2)+IF($M$119="x",2)+IF($M$105="x",1)+IF($M$110="x",1)+IF($M$111="x",2)+IF($M$112="x",4)+IF($M$108="x",1)-IF($M$109="x",1)-IF($M$99="x",1)+IF($M$90="x",1)
&amp;"/"&amp;SUM($C$3,$I$2)-$C$120+IF($C$75="x",2)+$I$16-$B$10+$M$94+IF($C$77="x",2)-IF($C$78="x",4)-IF($I$78="x",1)-IF($C$79="x",4)+IF($C$80="x",1)-IF($I$77="x",2)-IF($I$90="x",2)+IF($I$83="x",2)-IF($C$83="x",4)-$C$112-5+IF(H629="x",1)+I629+$M$77+IF(H631="x",1)+IF(J631="x",1)+IF($M$76="x",2)+J629+IF($M$85="x",1)+IF($M$113="x",1)+IF($M$120="x",2)+IF($M$119="x",2)+IF($M$105="x",1)+IF($M$110="x",1)+IF($M$111="x",2)+IF($M$112="x",4)+IF($M$108="x",1)-IF($M$109="x",1)-IF($M$99="x",1)+IF($M$90="x",1),
IF(AND($C$3&gt;10,$C$3&lt;16),SUM($C$3,$I$2)-$C$120+IF($C$75="x",2)+$I$16-$B$10+$M$94+IF($C$77="x",2)-IF($C$78="x",4)-IF($I$78="x",1)-IF($C$79="x",4)+IF($C$80="x",1)-IF($I$77="x",2)-IF($I$90="x",2)+IF($I$83="x",2)-IF($C$83="x",4)-$C$112+#REF!+$M$77+IF($M$76="x",2)+#REF!+IF($M$85="x",1)+IF($M$113="x",1)+IF($M$120="x",2)+IF($M$119="x",2)+IF($M$105="x",1)+IF($M$110="x",1)+IF($M$111="x",2)+IF($M$112="x",4)+IF($M$108="x",1)-IF($M$109="x",1)+IF($M$99="x",20)-IF($M$99="x",1)+IF($M$90="x",1)
&amp;"/"&amp;SUM($C$3,$I$2)-$C$120+IF($C$75="x",2)+$I$16-$B$10+$M$94+IF($C$77="x",2)-IF($C$78="x",4)-IF($I$78="x",1)-IF($C$79="x",4)+IF($C$80="x",1)-IF($I$77="x",2)-IF($I$90="x",2)+IF($I$83="x",2)-IF($C$83="x",4)-$C$112-5+IF(H629="x",1)+I629+$M$77+IF(H631="x",1)+IF(J631="x",1)+IF($M$76="x",2)+J629+IF($M$85="x",1)+IF($M$113="x",1)+IF($M$120="x",2)+IF($M$119="x",2)+IF($M$105="x",1)+IF($M$110="x",1)+IF($M$111="x",2)+IF($M$112="x",4)+IF($M$108="x",1)-IF($M$109="x",1)-IF($M$99="x",1)+IF($M$90="x",1)
&amp;"/"&amp;SUM($C$3,$I$2)-$C$120+IF($C$75="x",2)+$I$16-$B$10+$M$94+IF($C$77="x",2)-IF($C$78="x",4)-IF($I$78="x",1)-IF($C$79="x",4)+IF($C$80="x",1)-IF($I$77="x",2)-IF($I$90="x",2)+IF($I$83="x",2)-IF($C$83="x",4)-$C$112-10+IF(H629="x",1)+I629+$M$77+IF(H631="x",1)+IF(J631="x",1)+IF($M$76="x",2)+J629+IF($M$85="x",1)+IF($M$113="x",1)+IF($M$120="x",2)+IF($M$119="x",2)+IF($M$105="x",1)+IF($M$110="x",1)+IF($M$111="x",2)+IF($M$112="x",4)+IF($M$108="x",1)-IF($M$109="x",1)-IF($M$99="x",1)+IF($M$90="x",1),
IF(AND($C$3&gt;15),SUM($C$3,$I$2)-$C$120+IF($C$75="x",2)+$I$16-$B$10+$M$94+IF($C$77="x",2)-IF($C$78="x",4)-IF($I$78="x",1)-IF($C$79="x",4)+IF($C$80="x",1)-IF($I$77="x",2)-IF($I$90="x",2)+IF($I$83="x",2)-IF($C$83="x",4)-$C$112+IF(H629="x",1)+I629+$M$77+IF(H631="x",1)+IF(J631="x",1)+IF($M$76="x",2)+J629+IF($M$85="x",1)+IF($M$113="x",1)+IF($M$120="x",2)+IF($M$119="x",2)+IF($M$105="x",1)+IF($M$110="x",1)+IF($M$111="x",2)+IF($M$112="x",4)+IF($M$108="x",1)-IF($M$109="x",1)-IF($M$99="x",1)+IF($M$90="x",1)
&amp;"/"&amp;SUM($C$3,$I$2)-$C$120+IF($C$75="x",2)+$I$16-$B$10+$M$94+IF($C$77="x",2)-IF($C$78="x",4)-IF($I$78="x",1)-IF($C$79="x",4)+IF($C$80="x",1)-IF($I$77="x",2)-IF($I$90="x",2)+IF($I$83="x",2)-IF($C$83="x",4)-$C$112-5+IF(H629="x",1)+I629+$M$77+IF(H631="x",1)+IF(J631="x",1)+IF($M$76="x",2)+J629
+IF($M$85="x",1)+IF($M$113="x",1)+IF($M$120="x",2)+IF($M$119="x",2)+IF($M$105="x",1)+IF($M$110="x",1)+IF($M$111="x",2)+IF($M$112="x",4)+IF($M$108="x",1)-IF($M$109="x",1)-IF($M$99="x",1)+IF($M$90="x",1)
&amp;"/"&amp;SUM($C$3,$I$2)-$C$120+IF($C$75="x",2)+$I$16-$B$10+$M$94+IF($C$77="x",2)-IF($C$78="x",4)-IF($I$78="x",1)-IF($C$79="x",4)+IF($C$80="x",1)-IF($I$77="x",2)-IF($I$90="x",2)+IF($I$83="x",2)-IF($C$83="x",4)-$C$112-10+IF(H629="x",1)+I629+$M$77+IF(H631="x",1)+IF(J631="x",1)+IF($M$76="x",2)+J629+IF($M$85="x",1)+IF($M$113="x",1)+IF($M$120="x",2)+IF($M$119="x",2)+IF($M$105="x",1)+IF($M$110="x",1)+IF($M$111="x",2)+IF($M$112="x",4)+IF($M$108="x",1)-IF($M$109="x",1)-IF($M$99="x",1)+IF($M$90="x",1)
&amp;"/"&amp;SUM($C$3,$I$2)-$C$120+IF($C$75="x",2)+$I$16-$B$10+$M$94+IF($C$77="x",2)-IF($C$78="x",4)-IF($I$78="x",1)-IF($C$79="x",4)+IF($C$80="x",1)-IF($I$77="x",2)-IF($I$90="x",2)+IF($I$83="x",2)-IF($C$83="x",4)-$C$112-15+IF(H629="x",1)+I629+$M$77+IF(H631="x",1)+IF(J631="x",1)+IF($M$76="x",2)+J629+IF($M$85="x",1)+IF($M$113="x",1)+IF($M$120="x",2)+IF($M$119="x",2)+IF($M$105="x",1)+IF($M$110="x",1)+IF($M$111="x",2)+IF($M$112="x",4)+IF($M$108="x",1)-IF($M$109="x",1)-IF($M$99="x",1)+IF($M$90="x",1))))))</f>
        <v>0</v>
      </c>
      <c r="C629" s="114" t="str">
        <f>_xlfn.IFS($C$7="Minimaalinen","1n2",$C$7="Taskukokoinen","1n3",$C$7="Hyvin pieni","1n4",$C$7="Pieni","1n6",$C$7="Keskikokoinen","1n8",$C$7="Iso","2n6",$C$7="Valtava","3n6",$C$7="Suunnaton","4n6",$C$7="Giganttinen","6n6")</f>
        <v>1n8</v>
      </c>
      <c r="D629" s="113">
        <f>IF($I$2&lt;0,$I$2,INT($I$2*1.5))+($C$120*2)+I629+$M$77+IF(I631="x",2)+IF(K631="x",2)+IF($M$119="x",2)+IF($M$108="x",1)+$M$94-IF($M$109="x",1)+K629</f>
        <v>0</v>
      </c>
      <c r="E629" s="114" t="str">
        <f>_xlfn.IFS($C$7="Minimaalinen","3n2",$C$7="Taskukokoinen","3n3",$C$7="Hyvin pieni","3n4",$C$7="Pieni","3n6",$C$7="Keskikokoinen","3n8",$C$7="Iso","6n6",$C$7="Valtava","9n6",$C$7="Suunnaton","12n6",$C$7="Giganttinen","18n6")</f>
        <v>3n8</v>
      </c>
      <c r="F629" s="120">
        <f>SUM(D629*3)</f>
        <v>0</v>
      </c>
      <c r="G629" s="120" t="str">
        <f>(IF($I$89="x","50 %","")&amp;(IF($C$81="x","20 %",""))&amp;(IF($C$82="x","50 %","")))</f>
        <v/>
      </c>
      <c r="H629" s="28"/>
      <c r="I629" s="17">
        <v>0</v>
      </c>
      <c r="J629" s="17">
        <v>0</v>
      </c>
      <c r="K629" s="17">
        <v>0</v>
      </c>
      <c r="AB629" s="62"/>
      <c r="AC629" s="53"/>
      <c r="AD629" s="49"/>
      <c r="AE629" s="51"/>
      <c r="AF629" s="49"/>
      <c r="AG629" s="49"/>
      <c r="AH629" s="49"/>
      <c r="AI629" s="48"/>
      <c r="AJ629" s="48"/>
      <c r="AK629" s="48"/>
      <c r="AL629" s="48"/>
    </row>
    <row r="630" spans="1:38" x14ac:dyDescent="0.2">
      <c r="A630" s="31" t="s">
        <v>240</v>
      </c>
      <c r="B630" s="15"/>
      <c r="C630" s="15"/>
      <c r="D630" s="15"/>
      <c r="F630" s="15"/>
      <c r="G630" s="15"/>
      <c r="H630" s="14" t="s">
        <v>220</v>
      </c>
      <c r="I630" s="14" t="s">
        <v>221</v>
      </c>
      <c r="J630" s="14" t="s">
        <v>222</v>
      </c>
      <c r="K630" s="14" t="s">
        <v>223</v>
      </c>
      <c r="AB630" s="59"/>
      <c r="AC630" s="51"/>
      <c r="AD630" s="49"/>
      <c r="AE630" s="51"/>
      <c r="AF630" s="49"/>
      <c r="AG630" s="49"/>
      <c r="AH630" s="49"/>
      <c r="AI630" s="40"/>
      <c r="AJ630" s="40"/>
      <c r="AK630" s="40"/>
      <c r="AL630" s="40"/>
    </row>
    <row r="631" spans="1:38" x14ac:dyDescent="0.2">
      <c r="A631" s="15" t="str">
        <f>_xlfn.IFS($C$7="Minimaalinen","0 j",$C$7="Taskukokoinen","0 j",$C$7="Hyvin pieni","5 j",$C$7="Pieni","10 j",$C$7="Keskikokoinen","10 j",$C$7="Iso","20 j",$C$7="Valtava","30 j",$C$7="Suunnaton","40 j",$C$7="Giganttinen","60 j")</f>
        <v>10 j</v>
      </c>
      <c r="B631" s="15"/>
      <c r="C631" s="15"/>
      <c r="D631" s="15"/>
      <c r="F631" s="15"/>
      <c r="G631" s="15"/>
      <c r="H631" s="28"/>
      <c r="I631" s="28"/>
      <c r="J631" s="28"/>
      <c r="K631" s="28"/>
      <c r="AB631" s="62"/>
      <c r="AC631" s="53"/>
      <c r="AD631" s="49"/>
      <c r="AE631" s="51"/>
      <c r="AF631" s="49"/>
      <c r="AG631" s="49"/>
      <c r="AH631" s="49"/>
      <c r="AI631" s="48"/>
      <c r="AJ631" s="48"/>
      <c r="AK631" s="48"/>
    </row>
    <row r="632" spans="1:38" x14ac:dyDescent="0.2">
      <c r="B632" s="15"/>
      <c r="C632" s="15"/>
      <c r="D632" s="15"/>
      <c r="F632" s="15"/>
      <c r="G632" s="15"/>
      <c r="H632" s="15"/>
      <c r="I632" s="15"/>
      <c r="AB632" s="59"/>
      <c r="AC632" s="51"/>
      <c r="AD632" s="49"/>
      <c r="AE632" s="51"/>
      <c r="AF632" s="49"/>
      <c r="AG632" s="49"/>
      <c r="AH632" s="49"/>
      <c r="AI632" s="40"/>
      <c r="AJ632" s="40"/>
      <c r="AK632" s="40"/>
      <c r="AL632" s="50"/>
    </row>
    <row r="633" spans="1:38" x14ac:dyDescent="0.2">
      <c r="B633" s="15"/>
      <c r="C633" s="15"/>
      <c r="D633" s="15"/>
      <c r="F633" s="15"/>
      <c r="G633" s="15"/>
      <c r="H633" s="15"/>
      <c r="I633" s="15"/>
      <c r="AB633" s="62"/>
      <c r="AC633" s="53"/>
      <c r="AD633" s="49"/>
      <c r="AE633" s="51"/>
      <c r="AF633" s="49"/>
      <c r="AG633" s="49"/>
      <c r="AH633" s="49"/>
      <c r="AI633" s="49"/>
      <c r="AJ633" s="50"/>
      <c r="AK633" s="65"/>
      <c r="AL633" s="65"/>
    </row>
    <row r="634" spans="1:38" x14ac:dyDescent="0.2">
      <c r="A634" s="34" t="s">
        <v>263</v>
      </c>
      <c r="B634" s="130" t="s">
        <v>1</v>
      </c>
      <c r="C634" s="130" t="s">
        <v>2</v>
      </c>
      <c r="D634" s="130" t="s">
        <v>3</v>
      </c>
      <c r="E634" s="130" t="s">
        <v>229</v>
      </c>
      <c r="F634" s="130" t="s">
        <v>3</v>
      </c>
      <c r="G634" s="130" t="s">
        <v>45</v>
      </c>
      <c r="H634" s="14" t="s">
        <v>179</v>
      </c>
      <c r="I634" s="130" t="s">
        <v>242</v>
      </c>
      <c r="J634" s="130" t="s">
        <v>224</v>
      </c>
      <c r="K634" s="130" t="s">
        <v>225</v>
      </c>
      <c r="AB634" s="59"/>
      <c r="AC634" s="51"/>
      <c r="AD634" s="49"/>
      <c r="AE634" s="51"/>
      <c r="AF634" s="49"/>
      <c r="AG634" s="49"/>
      <c r="AH634" s="49"/>
      <c r="AI634" s="49"/>
      <c r="AJ634" s="40"/>
      <c r="AK634" s="65"/>
      <c r="AL634" s="65"/>
    </row>
    <row r="635" spans="1:38" x14ac:dyDescent="0.2">
      <c r="A635" s="58" t="s">
        <v>8</v>
      </c>
      <c r="B635" s="119">
        <f>IF($I$85="x","PAINISSA",IF($C$3&lt;=5,SUM($C$3,$I$2)-$C$120+IF($C$75="x",2)+$I$16-$B$10+$M$94+IF($C$77="x",2)-IF($C$78="x",4)-IF($I$78="x",1)-IF($C$79="x",4)+IF($C$80="x",1)-IF($I$77="x",2)-IF($I$90="x",2)+IF($I$83="x",2)-IF($C$75="x",4)-$C$112+IF(H635="x",1)+I635+$M$77+IF(H637="x",1)+IF(J637="x",1)+IF($M$76="x",2)+J635+IF($M$85="x",1)+IF($M$113="x",1)+IF($M$120="x",2)+IF($M$119="x",2)+IF($M$105="x",1)+IF($M$110="x",1)+IF($M$111="x",2)+IF($M$112="x",4)+IF($M$108="x",1)-IF($M$109="x",1)-IF($M$99="x",1)+IF($M$90="x",1),
IF(AND($C$3&gt;5,$C$3&lt;11),SUM($C$3,$I$2)-$C$120+IF($C$75="x",2)+$I$16-$B$10+$M$94+IF($C$77="x",2)-IF($C$78="x",4)-IF($I$78="x",1)-IF($C$79="x",4)+IF($C$80="x",1)-IF($I$77="x",2)-IF($I$90="x",2)+IF($I$83="x",2)-IF($C$83="x",4)-$C$112+IF(H635="x",1)+I635+$M$77+IF(H637="x",1)+IF(J637="x",1)+IF($M$76="x",2)+J635+IF($M$85="x",1)+IF($M$113="x",1)+IF($M$120="x",2)+IF($M$119="x",2)+IF($M$105="x",1)+IF($M$110="x",1)+IF($M$111="x",2)+IF($M$112="x",4)+IF($M$108="x",1)-IF($M$109="x",1)-IF($M$99="x",1)+IF($M$90="x",1)
&amp;"/"&amp;SUM($C$3,$I$2)-$C$120+IF($C$75="x",2)+$I$16-$B$10+$M$94+IF($C$77="x",2)-IF($C$78="x",4)-IF($I$78="x",1)-IF($C$79="x",4)+IF($C$80="x",1)-IF($I$77="x",2)-IF($I$90="x",2)+IF($I$83="x",2)-IF($C$83="x",4)-$C$112-5+IF(H635="x",1)+I635+$M$77+IF(H637="x",1)+IF(J637="x",1)+IF($M$76="x",2)+J635+IF($M$85="x",1)+IF($M$113="x",1)+IF($M$120="x",2)+IF($M$119="x",2)+IF($M$105="x",1)+IF($M$110="x",1)+IF($M$111="x",2)+IF($M$112="x",4)+IF($M$108="x",1)-IF($M$109="x",1)-IF($M$99="x",1)+IF($M$90="x",1),
IF(AND($C$3&gt;10,$C$3&lt;16),SUM($C$3,$I$2)-$C$120+IF($C$75="x",2)+$I$16-$B$10+$M$94+IF($C$77="x",2)-IF($C$78="x",4)-IF($I$78="x",1)-IF($C$79="x",4)+IF($C$80="x",1)-IF($I$77="x",2)-IF($I$90="x",2)+IF($I$83="x",2)-IF($C$83="x",4)-$C$112+#REF!+$M$77+IF($M$76="x",2)+#REF!+IF($M$85="x",1)+IF($M$113="x",1)+IF($M$120="x",2)+IF($M$119="x",2)+IF($M$105="x",1)+IF($M$110="x",1)+IF($M$111="x",2)+IF($M$112="x",4)+IF($M$108="x",1)-IF($M$109="x",1)+IF($M$99="x",20)-IF($M$99="x",1)+IF($M$90="x",1)
&amp;"/"&amp;SUM($C$3,$I$2)-$C$120+IF($C$75="x",2)+$I$16-$B$10+$M$94+IF($C$77="x",2)-IF($C$78="x",4)-IF($I$78="x",1)-IF($C$79="x",4)+IF($C$80="x",1)-IF($I$77="x",2)-IF($I$90="x",2)+IF($I$83="x",2)-IF($C$83="x",4)-$C$112-5+IF(H635="x",1)+I635+$M$77+IF(H637="x",1)+IF(J637="x",1)+IF($M$76="x",2)+J635+IF($M$85="x",1)+IF($M$113="x",1)+IF($M$120="x",2)+IF($M$119="x",2)+IF($M$105="x",1)+IF($M$110="x",1)+IF($M$111="x",2)+IF($M$112="x",4)+IF($M$108="x",1)-IF($M$109="x",1)-IF($M$99="x",1)+IF($M$90="x",1)
&amp;"/"&amp;SUM($C$3,$I$2)-$C$120+IF($C$75="x",2)+$I$16-$B$10+$M$94+IF($C$77="x",2)-IF($C$78="x",4)-IF($I$78="x",1)-IF($C$79="x",4)+IF($C$80="x",1)-IF($I$77="x",2)-IF($I$90="x",2)+IF($I$83="x",2)-IF($C$83="x",4)-$C$112-10+IF(H635="x",1)+I635+$M$77+IF(H637="x",1)+IF(J637="x",1)+IF($M$76="x",2)+J635+IF($M$85="x",1)+IF($M$113="x",1)+IF($M$120="x",2)+IF($M$119="x",2)+IF($M$105="x",1)+IF($M$110="x",1)+IF($M$111="x",2)+IF($M$112="x",4)+IF($M$108="x",1)-IF($M$109="x",1)-IF($M$99="x",1)+IF($M$90="x",1),
IF(AND($C$3&gt;15),SUM($C$3,$I$2)-$C$120+IF($C$75="x",2)+$I$16-$B$10+$M$94+IF($C$77="x",2)-IF($C$78="x",4)-IF($I$78="x",1)-IF($C$79="x",4)+IF($C$80="x",1)-IF($I$77="x",2)-IF($I$90="x",2)+IF($I$83="x",2)-IF($C$83="x",4)-$C$112+IF(H635="x",1)+I635+$M$77+IF(H637="x",1)+IF(J637="x",1)+IF($M$76="x",2)+J635+IF($M$85="x",1)+IF($M$113="x",1)+IF($M$120="x",2)+IF($M$119="x",2)+IF($M$105="x",1)+IF($M$110="x",1)+IF($M$111="x",2)+IF($M$112="x",4)+IF($M$108="x",1)-IF($M$109="x",1)-IF($M$99="x",1)+IF($M$90="x",1)
&amp;"/"&amp;SUM($C$3,$I$2)-$C$120+IF($C$75="x",2)+$I$16-$B$10+$M$94+IF($C$77="x",2)-IF($C$78="x",4)-IF($I$78="x",1)-IF($C$79="x",4)+IF($C$80="x",1)-IF($I$77="x",2)-IF($I$90="x",2)+IF($I$83="x",2)-IF($C$83="x",4)-$C$112-5+IF(H635="x",1)+I635+$M$77+IF(H637="x",1)+IF(J637="x",1)+IF($M$76="x",2)+J635
+IF($M$85="x",1)+IF($M$113="x",1)+IF($M$120="x",2)+IF($M$119="x",2)+IF($M$105="x",1)+IF($M$110="x",1)+IF($M$111="x",2)+IF($M$112="x",4)+IF($M$108="x",1)-IF($M$109="x",1)-IF($M$99="x",1)+IF($M$90="x",1)
&amp;"/"&amp;SUM($C$3,$I$2)-$C$120+IF($C$75="x",2)+$I$16-$B$10+$M$94+IF($C$77="x",2)-IF($C$78="x",4)-IF($I$78="x",1)-IF($C$79="x",4)+IF($C$80="x",1)-IF($I$77="x",2)-IF($I$90="x",2)+IF($I$83="x",2)-IF($C$83="x",4)-$C$112-10+IF(H635="x",1)+I635+$M$77+IF(H637="x",1)+IF(J637="x",1)+IF($M$76="x",2)+J635+IF($M$85="x",1)+IF($M$113="x",1)+IF($M$120="x",2)+IF($M$119="x",2)+IF($M$105="x",1)+IF($M$110="x",1)+IF($M$111="x",2)+IF($M$112="x",4)+IF($M$108="x",1)-IF($M$109="x",1)-IF($M$99="x",1)+IF($M$90="x",1)
&amp;"/"&amp;SUM($C$3,$I$2)-$C$120+IF($C$75="x",2)+$I$16-$B$10+$M$94+IF($C$77="x",2)-IF($C$78="x",4)-IF($I$78="x",1)-IF($C$79="x",4)+IF($C$80="x",1)-IF($I$77="x",2)-IF($I$90="x",2)+IF($I$83="x",2)-IF($C$83="x",4)-$C$112-15+IF(H635="x",1)+I635+$M$77+IF(H637="x",1)+IF(J637="x",1)+IF($M$76="x",2)+J635+IF($M$85="x",1)+IF($M$113="x",1)+IF($M$120="x",2)+IF($M$119="x",2)+IF($M$105="x",1)+IF($M$110="x",1)+IF($M$111="x",2)+IF($M$112="x",4)+IF($M$108="x",1)-IF($M$109="x",1)-IF($M$99="x",1)+IF($M$90="x",1))))))</f>
        <v>0</v>
      </c>
      <c r="C635" s="120" t="str">
        <f>_xlfn.IFS($C$7="Minimaalinen","1n2",$C$7="Taskukokoinen","1n3",$C$7="Hyvin pieni","1n4",$C$7="Pieni","1n6",$C$7="Keskikokoinen","2n4",$C$7="Iso","2n6",$C$7="Valtava","3n6",$C$7="Suunnaton","4n6",$C$7="Giganttinen","6n6")</f>
        <v>2n4</v>
      </c>
      <c r="D635" s="119">
        <f>IF($I$2&lt;0,$I$2,INT($I$2*1.5))+($C$120*2)+I635+$M$77+IF(I637="x",2)+IF(K637="x",2)+IF($M$119="x",2)+IF($M$108="x",1)+$M$94-IF($M$109="x",1)+K635</f>
        <v>0</v>
      </c>
      <c r="E635" s="120" t="str">
        <f>_xlfn.IFS($C$7="Minimaalinen","3n2",$C$7="Taskukokoinen","3n3",$C$7="Hyvin pieni","3n4",$C$7="Pieni","3n6",$C$7="Keskikokoinen","6n4",$C$7="Iso","6n6",$C$7="Valtava","9n6",$C$7="Suunnaton","12n6",$C$7="Giganttinen","18n6")</f>
        <v>6n4</v>
      </c>
      <c r="F635" s="120">
        <f>SUM(D635*3)</f>
        <v>0</v>
      </c>
      <c r="G635" s="120" t="str">
        <f>(IF($I$89="x","50 %","")&amp;(IF($C$81="x","20 %",""))&amp;(IF($C$82="x","50 %","")))</f>
        <v/>
      </c>
      <c r="H635" s="28"/>
      <c r="I635" s="17">
        <v>0</v>
      </c>
      <c r="J635" s="17">
        <v>0</v>
      </c>
      <c r="K635" s="17">
        <v>0</v>
      </c>
      <c r="AB635" s="62"/>
      <c r="AC635" s="53"/>
      <c r="AD635" s="49"/>
      <c r="AE635" s="51"/>
      <c r="AF635" s="49"/>
      <c r="AG635" s="49"/>
      <c r="AH635" s="49"/>
      <c r="AI635" s="49"/>
      <c r="AJ635" s="49"/>
      <c r="AK635" s="65"/>
      <c r="AL635" s="65"/>
    </row>
    <row r="636" spans="1:38" x14ac:dyDescent="0.2">
      <c r="A636" s="149" t="s">
        <v>240</v>
      </c>
      <c r="B636" s="131"/>
      <c r="C636" s="131"/>
      <c r="D636" s="131"/>
      <c r="E636" s="131"/>
      <c r="F636" s="131"/>
      <c r="G636" s="131"/>
      <c r="H636" s="14" t="s">
        <v>220</v>
      </c>
      <c r="I636" s="14" t="s">
        <v>221</v>
      </c>
      <c r="J636" s="11" t="s">
        <v>222</v>
      </c>
      <c r="K636" s="14" t="s">
        <v>223</v>
      </c>
      <c r="AB636" s="59"/>
      <c r="AC636" s="51"/>
      <c r="AD636" s="49"/>
      <c r="AE636" s="51"/>
      <c r="AF636" s="49"/>
      <c r="AG636" s="49"/>
      <c r="AH636" s="49"/>
      <c r="AI636" s="49"/>
      <c r="AJ636" s="67"/>
    </row>
    <row r="637" spans="1:38" x14ac:dyDescent="0.2">
      <c r="A637" s="131" t="str">
        <f>_xlfn.IFS($C$7="Minimaalinen","0 j",$C$7="Taskukokoinen","0 j",$C$7="Hyvin pieni","5 j",$C$7="Pieni","10 j",$C$7="Keskikokoinen","10 j",$C$7="Iso","20 j",$C$7="Valtava","30 j",$C$7="Suunnaton","40 j",$C$7="Giganttinen","60 j")</f>
        <v>10 j</v>
      </c>
      <c r="B637" s="131"/>
      <c r="C637" s="131"/>
      <c r="D637" s="131"/>
      <c r="E637" s="131"/>
      <c r="F637" s="131"/>
      <c r="G637" s="131"/>
      <c r="H637" s="28"/>
      <c r="I637" s="28"/>
      <c r="J637" s="28"/>
      <c r="K637" s="28"/>
      <c r="AB637" s="62"/>
      <c r="AC637" s="53"/>
      <c r="AD637" s="49"/>
      <c r="AE637" s="51"/>
      <c r="AF637" s="49"/>
      <c r="AG637" s="40"/>
      <c r="AH637" s="40"/>
      <c r="AI637" s="40"/>
      <c r="AJ637" s="67"/>
      <c r="AK637" s="50"/>
      <c r="AL637" s="50"/>
    </row>
    <row r="638" spans="1:38" x14ac:dyDescent="0.2">
      <c r="B638" s="15"/>
      <c r="C638" s="15"/>
      <c r="D638" s="15"/>
      <c r="F638" s="15"/>
      <c r="G638" s="15"/>
      <c r="H638" s="15"/>
      <c r="I638" s="15"/>
      <c r="AB638" s="46"/>
    </row>
    <row r="639" spans="1:38" x14ac:dyDescent="0.2">
      <c r="B639" s="15"/>
      <c r="C639" s="15"/>
      <c r="D639" s="15"/>
      <c r="F639" s="15"/>
      <c r="G639" s="15"/>
      <c r="H639" s="15"/>
      <c r="I639" s="15"/>
      <c r="AB639" s="46"/>
      <c r="AC639" s="48"/>
      <c r="AD639" s="48"/>
      <c r="AE639" s="48"/>
      <c r="AF639" s="48"/>
      <c r="AG639" s="48"/>
      <c r="AH639" s="48"/>
      <c r="AI639" s="48"/>
      <c r="AJ639" s="48"/>
      <c r="AK639" s="48"/>
      <c r="AL639" s="48"/>
    </row>
    <row r="640" spans="1:38" x14ac:dyDescent="0.2">
      <c r="A640" s="34" t="s">
        <v>264</v>
      </c>
      <c r="B640" s="11" t="s">
        <v>1</v>
      </c>
      <c r="C640" s="11" t="s">
        <v>2</v>
      </c>
      <c r="D640" s="11" t="s">
        <v>3</v>
      </c>
      <c r="E640" s="11" t="s">
        <v>229</v>
      </c>
      <c r="F640" s="11" t="s">
        <v>3</v>
      </c>
      <c r="G640" s="11" t="s">
        <v>45</v>
      </c>
      <c r="H640" s="14" t="s">
        <v>179</v>
      </c>
      <c r="I640" s="130" t="s">
        <v>242</v>
      </c>
      <c r="J640" s="130" t="s">
        <v>224</v>
      </c>
      <c r="K640" s="130" t="s">
        <v>225</v>
      </c>
      <c r="AB640" s="46"/>
      <c r="AC640" s="48"/>
      <c r="AD640" s="48"/>
      <c r="AE640" s="48"/>
      <c r="AF640" s="48"/>
      <c r="AG640" s="48"/>
      <c r="AH640" s="48"/>
      <c r="AI640" s="48"/>
      <c r="AJ640" s="48"/>
      <c r="AK640" s="48"/>
      <c r="AL640" s="48"/>
    </row>
    <row r="641" spans="1:38" x14ac:dyDescent="0.2">
      <c r="A641" s="15" t="s">
        <v>219</v>
      </c>
      <c r="B641" s="12">
        <f>IF($I$85="x","PAINISSA",IF($C$3&lt;=5,$C$3+IF($C$87="x",$I$3,$I$2)-$C$120+IF($C$75="x",2)+$I$16-$B$10+$M$94+IF($C$77="x",2)-IF($C$78="x",4)-IF($I$78="x",1)-IF($C$79="x",4)+IF($C$80="x",1)-IF($I$77="x",2)-IF($I$90="x",2)+IF($I$83="x",2)-IF($C$75="x",4)-$C$112+IF(H641="x",1)+I641+$M$77+IF(H643="x",1)+IF(J643="x",1)+IF($M$76="x",2)+J641+IF($M$85="x",1)+IF($M$113="x",1)+IF($M$120="x",2)+IF($M$119="x",2)+IF($M$105="x",1)+IF($M$110="x",1)+IF($M$111="x",2)+IF($M$112="x",4)+IF($M$108="x",1)-IF($M$109="x",1)-IF($M$99="x",1)+IF($M$90="x",1),
IF(AND($C$3&gt;5,$C$3&lt;11),$C$3+IF($C$87="x",$I$3,$I$2)-$C$120+IF($C$75="x",2)+$I$16-$B$10+$M$94+IF($C$77="x",2)-IF($C$78="x",4)-IF($I$78="x",1)-IF($C$79="x",4)+IF($C$80="x",1)-IF($I$77="x",2)-IF($I$90="x",2)+IF($I$83="x",2)-IF($C$83="x",4)-$C$112+IF(H641="x",1)+I641+$M$77+IF(H643="x",1)+IF(J643="x",1)+IF($M$76="x",2)+J641+IF($M$85="x",1)+IF($M$113="x",1)+IF($M$120="x",2)+IF($M$119="x",2)+IF($M$105="x",1)+IF($M$110="x",1)+IF($M$111="x",2)+IF($M$112="x",4)+IF($M$108="x",1)-IF($M$109="x",1)-IF($M$99="x",1)+IF($M$90="x",1)
&amp;"/"&amp;$C$3+IF($C$87="x",$I$3,$I$2)-$C$120+IF($C$75="x",2)+$I$16-$B$10+$M$94+IF($C$77="x",2)-IF($C$78="x",4)-IF($I$78="x",1)-IF($C$79="x",4)+IF($C$80="x",1)-IF($I$77="x",2)-IF($I$90="x",2)+IF($I$83="x",2)-IF($C$83="x",4)-$C$112-5+IF(H641="x",1)+I641+$M$77+IF(H643="x",1)+IF(J643="x",1)+IF($M$76="x",2)+J641+IF($M$85="x",1)+IF($M$113="x",1)+IF($M$120="x",2)+IF($M$119="x",2)+IF($M$105="x",1)+IF($M$110="x",1)+IF($M$111="x",2)+IF($M$112="x",4)+IF($M$108="x",1)-IF($M$109="x",1)-IF($M$99="x",1)+IF($M$90="x",1),
IF(AND($C$3&gt;10,$C$3&lt;16),$C$3+IF($C$87="x",$I$3,$I$2)-$C$120+IF($C$75="x",2)+$I$16-$B$10+$M$94+IF($C$77="x",2)-IF($C$78="x",4)-IF($I$78="x",1)-IF($C$79="x",4)+IF($C$80="x",1)-IF($I$77="x",2)-IF($I$90="x",2)+IF($I$83="x",2)-IF($C$83="x",4)-$C$112+IF(H641="x",1)+I641+$M$77+IF(H643="x",1)+IF(J643="x",1)+IF($M$76="x",2)+J641+IF($M$85="x",1)+IF($M$113="x",1)+IF($M$120="x",2)+IF($M$119="x",2)+IF($M$105="x",1)+IF($M$110="x",1)+IF($M$111="x",2)+IF($M$112="x",4)+IF($M$108="x",1)-IF($M$109="x",1)+IF($M$99="x",20)-IF($M$99="x",1)+IF($M$90="x",1)
&amp;"/"&amp;$C$3+IF($C$87="x",$I$3,$I$2)-$C$120+IF($C$75="x",2)+$I$16-$B$10+$M$94+IF($C$77="x",2)-IF($C$78="x",4)-IF($I$78="x",1)-IF($C$79="x",4)+IF($C$80="x",1)-IF($I$77="x",2)-IF($I$90="x",2)+IF($I$83="x",2)-IF($C$83="x",4)-$C$112-5+IF(H641="x",1)+I641+$M$77+IF(H643="x",1)+IF(J643="x",1)+IF($M$76="x",2)+J641+IF($M$85="x",1)+IF($M$113="x",1)+IF($M$120="x",2)+IF($M$119="x",2)+IF($M$105="x",1)+IF($M$110="x",1)+IF($M$111="x",2)+IF($M$112="x",4)+IF($M$108="x",1)-IF($M$109="x",1)-IF($M$99="x",1)+IF($M$90="x",1)
&amp;"/"&amp;$C$3+IF($C$87="x",$I$3,$I$2)-$C$120+IF($C$75="x",2)+$I$16-$B$10+$M$94+IF($C$77="x",2)-IF($C$78="x",4)-IF($I$78="x",1)-IF($C$79="x",4)+IF($C$80="x",1)-IF($I$77="x",2)-IF($I$90="x",2)+IF($I$83="x",2)-IF($C$83="x",4)-$C$112-10+IF(H641="x",1)+I641+$M$77+IF(H643="x",1)+IF(J643="x",1)+IF($M$76="x",2)+J641+IF($M$85="x",1)+IF($M$113="x",1)+IF($M$120="x",2)+IF($M$119="x",2)+IF($M$105="x",1)+IF($M$110="x",1)+IF($M$111="x",2)+IF($M$112="x",4)+IF($M$108="x",1)-IF($M$109="x",1)-IF($M$99="x",1)+IF($M$90="x",1),
IF(AND($C$3&gt;15),$C$3+IF($C$87="x",$I$3,$I$2)-$C$120+IF($C$75="x",2)+$I$16-$B$10+$M$94+IF($C$77="x",2)-IF($C$78="x",4)-IF($I$78="x",1)-IF($C$79="x",4)+IF($C$80="x",1)-IF($I$77="x",2)-IF($I$90="x",2)+IF($I$83="x",2)-IF($C$83="x",4)-$C$112+IF(H641="x",1)+I641+$M$77+IF(H643="x",1)+IF(J643="x",1)+IF($M$76="x",2)+J641+IF($M$85="x",1)+IF($M$113="x",1)+IF($M$120="x",2)+IF($M$119="x",2)+IF($M$105="x",1)+IF($M$110="x",1)+IF($M$111="x",2)+IF($M$112="x",4)+IF($M$108="x",1)-IF($M$109="x",1)-IF($M$99="x",1)+IF($M$90="x",1)
&amp;"/"&amp;$C$3+IF($C$87="x",$I$3,$I$2)-$C$120+IF($C$75="x",2)+$I$16-$B$10+$M$94+IF($C$77="x",2)-IF($C$78="x",4)-IF($I$78="x",1)-IF($C$79="x",4)+IF($C$80="x",1)-IF($I$77="x",2)-IF($I$90="x",2)+IF($I$83="x",2)-IF($C$83="x",4)-$C$112-5+IF(H641="x",1)+I641+$M$77+IF(H643="x",1)+IF(J643="x",1)+IF($M$76="x",2)+J641+IF($M$85="x",1)+IF($M$113="x",1)+IF($M$120="x",2)+IF($M$119="x",2)+IF($M$105="x",1)+IF($M$110="x",1)+IF($M$111="x",2)+IF($M$112="x",4)+IF($M$108="x",1)-IF($M$109="x",1)-IF($M$99="x",1)+IF($M$90="x",1)
&amp;"/"&amp;$C$3+IF($C$87="x",$I$3,$I$2)-$C$120+IF($C$75="x",2)+$I$16-$B$10+$M$94+IF($C$77="x",2)-IF($C$78="x",4)-IF($I$78="x",1)-IF($C$79="x",4)+IF($C$80="x",1)-IF($I$77="x",2)-IF($I$90="x",2)+IF($I$83="x",2)-IF($C$83="x",4)-$C$112-10+IF(H641="x",1)+I641+$M$77+IF(H643="x",1)+IF(J643="x",1)+IF($M$76="x",2)+J641+IF($M$85="x",1)+IF($M$113="x",1)+IF($M$120="x",2)+IF($M$119="x",2)+IF($M$105="x",1)+IF($M$110="x",1)+IF($M$111="x",2)+IF($M$112="x",4)+IF($M$108="x",1)-IF($M$109="x",1)-IF($M$99="x",1)+IF($M$90="x",1)
&amp;"/"&amp;$C$3+IF($C$87="x",$I$3,$I$2)-$C$120+IF($C$75="x",2)+$I$16-$B$10+$M$94+IF($C$77="x",2)-IF($C$78="x",4)-IF($I$78="x",1)-IF($C$79="x",4)+IF($C$80="x",1)-IF($I$77="x",2)-IF($I$90="x",2)+IF($I$83="x",2)-IF($C$83="x",4)-$C$112-15+IF(H641="x",1)+I641+$M$77+IF(H643="x",1)+IF(J643="x",1)+IF($M$76="x",2)+J641+IF($M$85="x",1)+IF($M$113="x",1)+IF($M$120="x",2)+IF($M$119="x",2)+IF($M$105="x",1)+IF($M$110="x",1)+IF($M$111="x",2)+IF($M$112="x",4)+IF($M$108="x",1)-IF($M$109="x",1)-IF($M$99="x",1)+IF($M$90="x",1))))))</f>
        <v>0</v>
      </c>
      <c r="C641" s="40" t="str">
        <f>_xlfn.IFS($C$7="Minimaalinen","–",$C$7="Taskukokoinen","–",$C$7="Hyvin pieni","1",$C$7="Pieni","1n2",$C$7="Keskikokoinen","1n3",$C$7="Iso","1n4",$C$7="Valtava","1n6",$C$7="Suunnaton","1n8",$C$7="Giganttinen","2n6")</f>
        <v>1n3</v>
      </c>
      <c r="D641" s="18">
        <f>SUM($I$2+$C$120)+I641+$M$77+IF(I643="x",2)+IF(K643="x",2)+IF($M$119="x",2)+IF($M$108="x",1)+$M$94-IF($M$109="x",1)+K641</f>
        <v>0</v>
      </c>
      <c r="E641" s="40" t="str">
        <f>_xlfn.IFS($C$7="Minimaalinen","–",$C$7="Taskukokoinen","–",$C$7="Hyvin pieni","2",$C$7="Pieni","2n2",$C$7="Keskikokoinen","2n3",$C$7="Iso","2n4",$C$7="Valtava","2n6",$C$7="Suunnaton","2n8",$C$7="Giganttinen","4n6")</f>
        <v>2n3</v>
      </c>
      <c r="F641" s="12">
        <f>SUM(D641*2)</f>
        <v>0</v>
      </c>
      <c r="G641" s="12" t="str">
        <f>(IF($I$89="x","50 %","")&amp;(IF($C$81="x","20 %",""))&amp;(IF($C$82="x","50 %","")))</f>
        <v/>
      </c>
      <c r="H641" s="28"/>
      <c r="I641" s="17">
        <v>0</v>
      </c>
      <c r="J641" s="17">
        <v>0</v>
      </c>
      <c r="K641" s="17">
        <v>0</v>
      </c>
      <c r="AB641" s="59"/>
      <c r="AC641" s="51"/>
      <c r="AD641" s="49"/>
      <c r="AE641" s="51"/>
      <c r="AF641" s="49"/>
      <c r="AG641" s="49"/>
      <c r="AH641" s="49"/>
      <c r="AI641" s="40"/>
      <c r="AJ641" s="40"/>
      <c r="AK641" s="40"/>
      <c r="AL641" s="40"/>
    </row>
    <row r="642" spans="1:38" x14ac:dyDescent="0.2">
      <c r="A642" s="58" t="s">
        <v>8</v>
      </c>
      <c r="B642" s="119">
        <f>IF($I$85="x","PAINISSA",IF($C$3&lt;=5,$C$3+IF($C$87="x",$I$3,$I$2)-$C$120+IF($C$75="x",2)+$I$16-$B$10+$M$94+IF($C$77="x",2)-IF($C$78="x",4)-IF($I$78="x",1)-IF($C$79="x",4)+IF($C$80="x",1)-IF($I$77="x",2)-IF($I$90="x",2)+IF($I$83="x",2)-IF($C$75="x",4)-$C$112+IF(H641="x",1)+I641+$M$77+IF(H643="x",1)+IF(J643="x",1)+IF($M$76="x",2)+J641+IF($M$85="x",1)+IF($M$113="x",1)+IF($M$120="x",2)+IF($M$119="x",2)+IF($M$105="x",1)+IF($M$110="x",1)+IF($M$111="x",2)+IF($M$112="x",4)+IF($M$108="x",1)-IF($M$109="x",1)-IF($M$99="x",1)+IF($M$90="x",1),
IF(AND($C$3&gt;5,$C$3&lt;11),$C$3+IF($C$87="x",$I$3,$I$2)-$C$120+IF($C$75="x",2)+$I$16-$B$10+$M$94+IF($C$77="x",2)-IF($C$78="x",4)-IF($I$78="x",1)-IF($C$79="x",4)+IF($C$80="x",1)-IF($I$77="x",2)-IF($I$90="x",2)+IF($I$83="x",2)-IF($C$83="x",4)-$C$112+IF(H641="x",1)+I641+$M$77+IF(H643="x",1)+IF(J643="x",1)+IF($M$76="x",2)+J641+IF($M$85="x",1)+IF($M$113="x",1)+IF($M$120="x",2)+IF($M$119="x",2)+IF($M$105="x",1)+IF($M$110="x",1)+IF($M$111="x",2)+IF($M$112="x",4)+IF($M$108="x",1)-IF($M$109="x",1)-IF($M$99="x",1)+IF($M$90="x",1)
&amp;"/"&amp;$C$3+IF($C$87="x",$I$3,$I$2)-$C$120+IF($C$75="x",2)+$I$16-$B$10+$M$94+IF($C$77="x",2)-IF($C$78="x",4)-IF($I$78="x",1)-IF($C$79="x",4)+IF($C$80="x",1)-IF($I$77="x",2)-IF($I$90="x",2)+IF($I$83="x",2)-IF($C$83="x",4)-$C$112-5+IF(H641="x",1)+I641+$M$77+IF(H643="x",1)+IF(J643="x",1)+IF($M$76="x",2)+J641+IF($M$85="x",1)+IF($M$113="x",1)+IF($M$120="x",2)+IF($M$119="x",2)+IF($M$105="x",1)+IF($M$110="x",1)+IF($M$111="x",2)+IF($M$112="x",4)+IF($M$108="x",1)-IF($M$109="x",1)-IF($M$99="x",1)+IF($M$90="x",1),
IF(AND($C$3&gt;10,$C$3&lt;16),$C$3+IF($C$87="x",$I$3,$I$2)-$C$120+IF($C$75="x",2)+$I$16-$B$10+$M$94+IF($C$77="x",2)-IF($C$78="x",4)-IF($I$78="x",1)-IF($C$79="x",4)+IF($C$80="x",1)-IF($I$77="x",2)-IF($I$90="x",2)+IF($I$83="x",2)-IF($C$83="x",4)-$C$112+IF(H641="x",1)+I641+$M$77+IF(H643="x",1)+IF(J643="x",1)+IF($M$76="x",2)+J641+IF($M$85="x",1)+IF($M$113="x",1)+IF($M$120="x",2)+IF($M$119="x",2)+IF($M$105="x",1)+IF($M$110="x",1)+IF($M$111="x",2)+IF($M$112="x",4)+IF($M$108="x",1)-IF($M$109="x",1)+IF($M$99="x",20)-IF($M$99="x",1)+IF($M$90="x",1)
&amp;"/"&amp;$C$3+IF($C$87="x",$I$3,$I$2)-$C$120+IF($C$75="x",2)+$I$16-$B$10+$M$94+IF($C$77="x",2)-IF($C$78="x",4)-IF($I$78="x",1)-IF($C$79="x",4)+IF($C$80="x",1)-IF($I$77="x",2)-IF($I$90="x",2)+IF($I$83="x",2)-IF($C$83="x",4)-$C$112-5+IF(H641="x",1)+I641+$M$77+IF(H643="x",1)+IF(J643="x",1)+IF($M$76="x",2)+J641+IF($M$85="x",1)+IF($M$113="x",1)+IF($M$120="x",2)+IF($M$119="x",2)+IF($M$105="x",1)+IF($M$110="x",1)+IF($M$111="x",2)+IF($M$112="x",4)+IF($M$108="x",1)-IF($M$109="x",1)-IF($M$99="x",1)+IF($M$90="x",1)
&amp;"/"&amp;$C$3+IF($C$87="x",$I$3,$I$2)-$C$120+IF($C$75="x",2)+$I$16-$B$10+$M$94+IF($C$77="x",2)-IF($C$78="x",4)-IF($I$78="x",1)-IF($C$79="x",4)+IF($C$80="x",1)-IF($I$77="x",2)-IF($I$90="x",2)+IF($I$83="x",2)-IF($C$83="x",4)-$C$112-10+IF(H641="x",1)+I641+$M$77+IF(H643="x",1)+IF(J643="x",1)+IF($M$76="x",2)+J641+IF($M$85="x",1)+IF($M$113="x",1)+IF($M$120="x",2)+IF($M$119="x",2)+IF($M$105="x",1)+IF($M$110="x",1)+IF($M$111="x",2)+IF($M$112="x",4)+IF($M$108="x",1)-IF($M$109="x",1)-IF($M$99="x",1)+IF($M$90="x",1),
IF(AND($C$3&gt;15),$C$3+IF($C$87="x",$I$3,$I$2)-$C$120+IF($C$75="x",2)+$I$16-$B$10+$M$94+IF($C$77="x",2)-IF($C$78="x",4)-IF($I$78="x",1)-IF($C$79="x",4)+IF($C$80="x",1)-IF($I$77="x",2)-IF($I$90="x",2)+IF($I$83="x",2)-IF($C$83="x",4)-$C$112+IF(H641="x",1)+I641+$M$77+IF(H643="x",1)+IF(J643="x",1)+IF($M$76="x",2)+J641+IF($M$85="x",1)+IF($M$113="x",1)+IF($M$120="x",2)+IF($M$119="x",2)+IF($M$105="x",1)+IF($M$110="x",1)+IF($M$111="x",2)+IF($M$112="x",4)+IF($M$108="x",1)-IF($M$109="x",1)-IF($M$99="x",1)+IF($M$90="x",1)
&amp;"/"&amp;$C$3+IF($C$87="x",$I$3,$I$2)-$C$120+IF($C$75="x",2)+$I$16-$B$10+$M$94+IF($C$77="x",2)-IF($C$78="x",4)-IF($I$78="x",1)-IF($C$79="x",4)+IF($C$80="x",1)-IF($I$77="x",2)-IF($I$90="x",2)+IF($I$83="x",2)-IF($C$83="x",4)-$C$112-5+IF(H641="x",1)+I641+$M$77+IF(H643="x",1)+IF(J643="x",1)+IF($M$76="x",2)+J641+IF($M$85="x",1)+IF($M$113="x",1)+IF($M$120="x",2)+IF($M$119="x",2)+IF($M$105="x",1)+IF($M$110="x",1)+IF($M$111="x",2)+IF($M$112="x",4)+IF($M$108="x",1)-IF($M$109="x",1)-IF($M$99="x",1)+IF($M$90="x",1)
&amp;"/"&amp;$C$3+IF($C$87="x",$I$3,$I$2)-$C$120+IF($C$75="x",2)+$I$16-$B$10+$M$94+IF($C$77="x",2)-IF($C$78="x",4)-IF($I$78="x",1)-IF($C$79="x",4)+IF($C$80="x",1)-IF($I$77="x",2)-IF($I$90="x",2)+IF($I$83="x",2)-IF($C$83="x",4)-$C$112-10+IF(H641="x",1)+I641+$M$77+IF(H643="x",1)+IF(J643="x",1)+IF($M$76="x",2)+J641+IF($M$85="x",1)+IF($M$113="x",1)+IF($M$120="x",2)+IF($M$119="x",2)+IF($M$105="x",1)+IF($M$110="x",1)+IF($M$111="x",2)+IF($M$112="x",4)+IF($M$108="x",1)-IF($M$109="x",1)-IF($M$99="x",1)+IF($M$90="x",1)
&amp;"/"&amp;$C$3+IF($C$87="x",$I$3,$I$2)-$C$120+IF($C$75="x",2)+$I$16-$B$10+$M$94+IF($C$77="x",2)-IF($C$78="x",4)-IF($I$78="x",1)-IF($C$79="x",4)+IF($C$80="x",1)-IF($I$77="x",2)-IF($I$90="x",2)+IF($I$83="x",2)-IF($C$83="x",4)-$C$112-15+IF(H641="x",1)+I641+$M$77+IF(H643="x",1)+IF(J643="x",1)+IF($M$76="x",2)+J641+IF($M$85="x",1)+IF($M$113="x",1)+IF($M$120="x",2)+IF($M$119="x",2)+IF($M$105="x",1)+IF($M$110="x",1)+IF($M$111="x",2)+IF($M$112="x",4)+IF($M$108="x",1)-IF($M$109="x",1)-IF($M$99="x",1)+IF($M$90="x",1))))))</f>
        <v>0</v>
      </c>
      <c r="C642" s="114" t="str">
        <f>_xlfn.IFS($C$7="Minimaalinen","–",$C$7="Taskukokoinen","–",$C$7="Hyvin pieni","1",$C$7="Pieni","1n2",$C$7="Keskikokoinen","1n3",$C$7="Iso","1n4",$C$7="Valtava","1n6",$C$7="Suunnaton","1n8",$C$7="Giganttinen","2n6")</f>
        <v>1n3</v>
      </c>
      <c r="D642" s="119">
        <f>IF($I$2&lt;0,$I$2,INT($I$2*1.5))+($C$120*2)+I641+$M$77+IF(I643="x",2)+IF(K643="x",2)+IF($M$119="x",2)+IF($M$108="x",1)+$M$94-IF($M$109="x",1)+K641</f>
        <v>0</v>
      </c>
      <c r="E642" s="114" t="str">
        <f>_xlfn.IFS($C$7="Minimaalinen","–",$C$7="Taskukokoinen","–",$C$7="Hyvin pieni","2",$C$7="Pieni","2n2",$C$7="Keskikokoinen","2n3",$C$7="Iso","2n4",$C$7="Valtava","2n6",$C$7="Suunnaton","2n8",$C$7="Giganttinen","4n6")</f>
        <v>2n3</v>
      </c>
      <c r="F642" s="120">
        <f>SUM(D642*2)</f>
        <v>0</v>
      </c>
      <c r="G642" s="120" t="str">
        <f>(IF($I$89="x","50 %","")&amp;(IF($C$81="x","20 %",""))&amp;(IF($C$82="x","50 %","")))</f>
        <v/>
      </c>
      <c r="H642" s="14" t="s">
        <v>220</v>
      </c>
      <c r="I642" s="14" t="s">
        <v>221</v>
      </c>
      <c r="J642" s="14" t="s">
        <v>222</v>
      </c>
      <c r="K642" s="14" t="s">
        <v>223</v>
      </c>
      <c r="AB642" s="62"/>
      <c r="AC642" s="53"/>
      <c r="AD642" s="49"/>
      <c r="AE642" s="51"/>
      <c r="AF642" s="49"/>
      <c r="AG642" s="49"/>
      <c r="AH642" s="49"/>
      <c r="AI642" s="48"/>
      <c r="AJ642" s="48"/>
      <c r="AK642" s="48"/>
      <c r="AL642" s="48"/>
    </row>
    <row r="643" spans="1:38" x14ac:dyDescent="0.2">
      <c r="A643" s="25" t="s">
        <v>438</v>
      </c>
      <c r="B643" s="121">
        <f>IF($I$85="x","PAINISSA",IF($C$3&lt;=5,$C$3+IF($C$87="x",$I$3,$I$2)-$C$120+IF($C$75="x",2)+$I$16-$B$10+$M$94+IF($C$77="x",2)-IF($C$78="x",4)-IF($I$78="x",1)-IF($C$79="x",4)+IF($C$80="x",1)-IF($I$77="x",2)-IF($I$90="x",2)+IF($I$83="x",2)-IF($C$75="x",4)-$C$112+IF(H641="x",1)+I641+$M$77+IF(H643="x",1)+IF(J643="x",1)+IF($M$76="x",2)+J641+IF($M$85="x",1)+IF($M$113="x",1)+IF($M$120="x",2)+IF($M$119="x",2)+IF($M$105="x",1)+IF($M$110="x",1)+IF($M$111="x",2)+IF($M$112="x",4)+IF($M$108="x",1)-IF($M$109="x",1)-IF($M$99="x",1)+IF($M$90="x",1)-IF($C$97="x",2,4),
IF(AND($C$3&gt;5,$C$3&lt;11),$C$3+IF($C$87="x",$I$3,$I$2)-$C$120+IF($C$75="x",2)+$I$16-$B$10+$M$94+IF($C$77="x",2)-IF($C$78="x",4)-IF($I$78="x",1)-IF($C$79="x",4)+IF($C$80="x",1)-IF($I$77="x",2)-IF($I$90="x",2)+IF($I$83="x",2)-IF($C$83="x",4)-$C$112+IF(H641="x",1)+I641+$M$77+IF(H643="x",1)+IF(J643="x",1)+IF($M$76="x",2)+J641+IF($M$85="x",1)+IF($M$113="x",1)+IF($M$120="x",2)+IF($M$119="x",2)+IF($M$105="x",1)+IF($M$110="x",1)+IF($M$111="x",2)+IF($M$112="x",4)+IF($M$108="x",1)-IF($M$109="x",1)-IF($M$99="x",1)+IF($M$90="x",1)-IF($C$97="x",2,4)
&amp;"/"&amp;$C$3+IF($C$87="x",$I$3,$I$2)-$C$120+IF($C$75="x",2)+$I$16-$B$10+$M$94+IF($C$77="x",2)-IF($C$78="x",4)-IF($I$78="x",1)-IF($C$79="x",4)+IF($C$80="x",1)-IF($I$77="x",2)-IF($I$90="x",2)+IF($I$83="x",2)-IF($C$83="x",4)-$C$112-5+IF(H641="x",1)+I641+$M$77+IF(H643="x",1)+IF(J643="x",1)+IF($M$76="x",2)+J641+IF($M$85="x",1)+IF($M$113="x",1)+IF($M$120="x",2)+IF($M$119="x",2)+IF($M$105="x",1)+IF($M$110="x",1)+IF($M$111="x",2)+IF($M$112="x",4)+IF($M$108="x",1)-IF($M$109="x",1)-IF($M$99="x",1)+IF($M$90="x",1)-IF($C$97="x",2,4),
IF(AND($C$3&gt;10,$C$3&lt;16),$C$3+IF($C$87="x",$I$3,$I$2)-$C$120+IF($C$75="x",2)+$I$16-$B$10+$M$94+IF($C$77="x",2)-IF($C$78="x",4)-IF($I$78="x",1)-IF($C$79="x",4)+IF($C$80="x",1)-IF($I$77="x",2)-IF($I$90="x",2)+IF($I$83="x",2)-IF($C$83="x",4)-$C$112+IF(H641="x",1)+I641+$M$77+IF(H643="x",1)+IF(J643="x",1)+IF($M$76="x",2)+J641+IF($M$85="x",1)+IF($M$113="x",1)+IF($M$120="x",2)+IF($M$119="x",2)+IF($M$105="x",1)+IF($M$110="x",1)+IF($M$111="x",2)+IF($M$112="x",4)+IF($M$108="x",1)-IF($M$109="x",1)+IF($M$99="x",20)-IF($M$99="x",1)+IF($M$90="x",1)-IF($C$97="x",2,4)
&amp;"/"&amp;$C$3+IF($C$87="x",$I$3,$I$2)-$C$120+IF($C$75="x",2)+$I$16-$B$10+$M$94+IF($C$77="x",2)-IF($C$78="x",4)-IF($I$78="x",1)-IF($C$79="x",4)+IF($C$80="x",1)-IF($I$77="x",2)-IF($I$90="x",2)+IF($I$83="x",2)-IF($C$83="x",4)-$C$112-5+IF(H641="x",1)+I641+$M$77+IF(H643="x",1)+IF(J643="x",1)+IF($M$76="x",2)+J641+IF($M$85="x",1)+IF($M$113="x",1)+IF($M$120="x",2)+IF($M$119="x",2)+IF($M$105="x",1)+IF($M$110="x",1)+IF($M$111="x",2)+IF($M$112="x",4)+IF($M$108="x",1)-IF($M$109="x",1)-IF($M$99="x",1)+IF($M$90="x",1)-IF($C$97="x",2,4)
&amp;"/"&amp;$C$3+IF($C$87="x",$I$3,$I$2)-$C$120+IF($C$75="x",2)+$I$16-$B$10+$M$94+IF($C$77="x",2)-IF($C$78="x",4)-IF($I$78="x",1)-IF($C$79="x",4)+IF($C$80="x",1)-IF($I$77="x",2)-IF($I$90="x",2)+IF($I$83="x",2)-IF($C$83="x",4)-$C$112-10+IF(H641="x",1)+I641+$M$77+IF(H643="x",1)+IF(J643="x",1)+IF($M$76="x",2)+J641+IF($M$85="x",1)+IF($M$113="x",1)+IF($M$120="x",2)+IF($M$119="x",2)+IF($M$105="x",1)+IF($M$110="x",1)+IF($M$111="x",2)+IF($M$112="x",4)+IF($M$108="x",1)-IF($M$109="x",1)-IF($M$99="x",1)+IF($M$90="x",1)-IF($C$97="x",2,4),
IF(AND($C$3&gt;15),$C$3+IF($C$87="x",$I$3,$I$2)-$C$120+IF($C$75="x",2)+$I$16-$B$10+$M$94+IF($C$77="x",2)-IF($C$78="x",4)-IF($I$78="x",1)-IF($C$79="x",4)+IF($C$80="x",1)-IF($I$77="x",2)-IF($I$90="x",2)+IF($I$83="x",2)-IF($C$83="x",4)-$C$112+IF(H641="x",1)+I641+$M$77+IF(H643="x",1)+IF(J643="x",1)+IF($M$76="x",2)+J641+IF($M$85="x",1)+IF($M$113="x",1)+IF($M$120="x",2)+IF($M$119="x",2)+IF($M$105="x",1)+IF($M$110="x",1)+IF($M$111="x",2)+IF($M$112="x",4)+IF($M$108="x",1)-IF($M$109="x",1)-IF($M$99="x",1)+IF($M$90="x",1)-IF($C$97="x",2,4)
&amp;"/"&amp;$C$3+IF($C$87="x",$I$3,$I$2)-$C$120+IF($C$75="x",2)+$I$16-$B$10+$M$94+IF($C$77="x",2)-IF($C$78="x",4)-IF($I$78="x",1)-IF($C$79="x",4)+IF($C$80="x",1)-IF($I$77="x",2)-IF($I$90="x",2)+IF($I$83="x",2)-IF($C$83="x",4)-$C$112-5+IF(H641="x",1)+I641+$M$77+IF(H643="x",1)+IF(J643="x",1)+IF($M$76="x",2)+J641+IF($M$85="x",1)+IF($M$113="x",1)+IF($M$120="x",2)+IF($M$119="x",2)+IF($M$105="x",1)+IF($M$110="x",1)+IF($M$111="x",2)+IF($M$112="x",4)+IF($M$108="x",1)-IF($M$109="x",1)-IF($M$99="x",1)+IF($M$90="x",1)-IF($C$97="x",2,4)
&amp;"/"&amp;$C$3+IF($C$87="x",$I$3,$I$2)-$C$120+IF($C$75="x",2)+$I$16-$B$10+$M$94+IF($C$77="x",2)-IF($C$78="x",4)-IF($I$78="x",1)-IF($C$79="x",4)+IF($C$80="x",1)-IF($I$77="x",2)-IF($I$90="x",2)+IF($I$83="x",2)-IF($C$83="x",4)-$C$112-10+IF(H641="x",1)+I641+$M$77+IF(H643="x",1)+IF(J643="x",1)+IF($M$76="x",2)+J641+IF($M$85="x",1)+IF($M$113="x",1)+IF($M$120="x",2)+IF($M$119="x",2)+IF($M$105="x",1)+IF($M$110="x",1)+IF($M$111="x",2)+IF($M$112="x",4)+IF($M$108="x",1)-IF($M$109="x",1)-IF($M$99="x",1)+IF($M$90="x",1)-IF($C$97="x",2,4)
&amp;"/"&amp;$C$3+IF($C$87="x",$I$3,$I$2)-$C$120+IF($C$75="x",2)+$I$16-$B$10+$M$94+IF($C$77="x",2)-IF($C$78="x",4)-IF($I$78="x",1)-IF($C$79="x",4)+IF($C$80="x",1)-IF($I$77="x",2)-IF($I$90="x",2)+IF($I$83="x",2)-IF($C$83="x",4)-$C$112-15+IF(H641="x",1)+I641+$M$77+IF(H643="x",1)+IF(J643="x",1)+IF($M$76="x",2)+J641+IF($M$85="x",1)+IF($M$113="x",1)+IF($M$120="x",2)+IF($M$119="x",2)+IF($M$105="x",1)+IF($M$110="x",1)+IF($M$111="x",2)+IF($M$112="x",4)+IF($M$108="x",1)-IF($M$109="x",1)-IF($M$99="x",1)+IF($M$90="x",1)-IF($C$97="x",2,4))))))</f>
        <v>-4</v>
      </c>
      <c r="C643" s="49" t="str">
        <f>_xlfn.IFS($C$7="Minimaalinen","–",$C$7="Taskukokoinen","–",$C$7="Hyvin pieni","1",$C$7="Pieni","1n2",$C$7="Keskikokoinen","1n3",$C$7="Iso","1n4",$C$7="Valtava","1n6",$C$7="Suunnaton","1n8",$C$7="Giganttinen","2n6")</f>
        <v>1n3</v>
      </c>
      <c r="D643" s="121">
        <f>SUM($I$2+$C$120)+I641+$M$77+IF(I643="x",2)+IF(K643="x",2)+IF($M$119="x",2)+IF($M$108="x",1)+$M$94-IF($M$109="x",1)+K641</f>
        <v>0</v>
      </c>
      <c r="E643" s="49" t="str">
        <f>_xlfn.IFS($C$7="Minimaalinen","–",$C$7="Taskukokoinen","–",$C$7="Hyvin pieni","2",$C$7="Pieni","2n2",$C$7="Keskikokoinen","2n3",$C$7="Iso","2n4",$C$7="Valtava","2n6",$C$7="Suunnaton","2n8",$C$7="Giganttinen","4n6")</f>
        <v>2n3</v>
      </c>
      <c r="F643" s="82">
        <f>SUM(D643*2)</f>
        <v>0</v>
      </c>
      <c r="G643" s="82" t="str">
        <f>(IF($I$89="x","50 %","")&amp;(IF($C$81="x","20 %",""))&amp;(IF($C$82="x","50 %","")))</f>
        <v/>
      </c>
      <c r="H643" s="28"/>
      <c r="I643" s="28"/>
      <c r="J643" s="28"/>
      <c r="K643" s="28"/>
      <c r="AB643" s="59"/>
      <c r="AC643" s="51"/>
      <c r="AD643" s="49"/>
      <c r="AE643" s="51"/>
      <c r="AF643" s="49"/>
      <c r="AG643" s="49"/>
      <c r="AH643" s="49"/>
      <c r="AI643" s="40"/>
      <c r="AJ643" s="40"/>
      <c r="AK643" s="40"/>
      <c r="AL643" s="40"/>
    </row>
    <row r="644" spans="1:38" x14ac:dyDescent="0.2">
      <c r="A644" s="25" t="s">
        <v>437</v>
      </c>
      <c r="B644" s="82">
        <f>IF($I$85="x","PAINISSA",IF($C$3&lt;=5,$C$3+IF($C$87="x",$I$3,$I$2)-$C$120+IF($C$75="x",2)+$I$16-$B$10+$M$94+IF($C$77="x",2)-IF($C$78="x",4)-IF($I$78="x",1)-IF($C$79="x",4)+IF($C$80="x",1)-IF($I$77="x",2)-IF($I$90="x",2)+IF($I$83="x",2)-IF($C$75="x",4)-$C$112+IF(H641="x",1)+I641+$M$77+IF(H643="x",1)+IF(J643="x",1)+IF($M$76="x",2)+J641+IF($M$85="x",1)+IF($M$113="x",1)+IF($M$120="x",2)+IF($M$119="x",2)+IF($M$105="x",1)+IF($M$110="x",1)+IF($M$111="x",2)+IF($M$112="x",4)+IF($M$108="x",1)-IF($M$109="x",1)-IF($M$99="x",1)+IF($M$90="x",1)-IF($C$97="x",4,6),
IF(AND($C$3&gt;5,$C$3&lt;11),$C$3+IF($C$87="x",$I$3,$I$2)-$C$120+IF($C$75="x",2)+$I$16-$B$10+$M$94+IF($C$77="x",2)-IF($C$78="x",4)-IF($I$78="x",1)-IF($C$79="x",4)+IF($C$80="x",1)-IF($I$77="x",2)-IF($I$90="x",2)+IF($I$83="x",2)-IF($C$83="x",4)-$C$112+IF(H641="x",1)+I641+$M$77+IF(H643="x",1)+IF(J643="x",1)+IF($M$76="x",2)+J641+IF($M$85="x",1)+IF($M$113="x",1)+IF($M$120="x",2)+IF($M$119="x",2)+IF($M$105="x",1)+IF($M$110="x",1)+IF($M$111="x",2)+IF($M$112="x",4)+IF($M$108="x",1)-IF($M$109="x",1)-IF($M$99="x",1)+IF($M$90="x",1)-IF($C$97="x",4,6)
&amp;"/"&amp;$C$3+IF($C$87="x",$I$3,$I$2)-$C$120+IF($C$75="x",2)+$I$16-$B$10+$M$94+IF($C$77="x",2)-IF($C$78="x",4)-IF($I$78="x",1)-IF($C$79="x",4)+IF($C$80="x",1)-IF($I$77="x",2)-IF($I$90="x",2)+IF($I$83="x",2)-IF($C$83="x",4)-$C$112-5+IF(H641="x",1)+I641+$M$77+IF(H643="x",1)+IF(J643="x",1)+IF($M$76="x",2)+J641+IF($M$85="x",1)+IF($M$113="x",1)+IF($M$120="x",2)+IF($M$119="x",2)+IF($M$105="x",1)+IF($M$110="x",1)+IF($M$111="x",2)+IF($M$112="x",4)+IF($M$108="x",1)-IF($M$109="x",1)-IF($M$99="x",1)+IF($M$90="x",1)-IF($C$97="x",4,6),
IF(AND($C$3&gt;10,$C$3&lt;16),$C$3+IF($C$87="x",$I$3,$I$2)-$C$120+IF($C$75="x",2)+$I$16-$B$10+$M$94+IF($C$77="x",2)-IF($C$78="x",4)-IF($I$78="x",1)-IF($C$79="x",4)+IF($C$80="x",1)-IF($I$77="x",2)-IF($I$90="x",2)+IF($I$83="x",2)-IF($C$83="x",4)-$C$112+IF(H641="x",1)+I641+$M$77+IF(H643="x",1)+IF(J643="x",1)+IF($M$76="x",2)+J641+IF($M$85="x",1)+IF($M$113="x",1)+IF($M$120="x",2)+IF($M$119="x",2)+IF($M$105="x",1)+IF($M$110="x",1)+IF($M$111="x",2)+IF($M$112="x",4)+IF($M$108="x",1)-IF($M$109="x",1)+IF($M$99="x",20)-IF($M$99="x",1)+IF($M$90="x",1)-IF($C$97="x",4,6)
&amp;"/"&amp;$C$3+IF($C$87="x",$I$3,$I$2)-$C$120+IF($C$75="x",2)+$I$16-$B$10+$M$94+IF($C$77="x",2)-IF($C$78="x",4)-IF($I$78="x",1)-IF($C$79="x",4)+IF($C$80="x",1)-IF($I$77="x",2)-IF($I$90="x",2)+IF($I$83="x",2)-IF($C$83="x",4)-$C$112-5+IF(H641="x",1)+I641+$M$77+IF(H643="x",1)+IF(J643="x",1)+IF($M$76="x",2)+J641+IF($M$85="x",1)+IF($M$113="x",1)+IF($M$120="x",2)+IF($M$119="x",2)+IF($M$105="x",1)+IF($M$110="x",1)+IF($M$111="x",2)+IF($M$112="x",4)+IF($M$108="x",1)-IF($M$109="x",1)-IF($M$99="x",1)+IF($M$90="x",1)-IF($C$97="x",4,6)
&amp;"/"&amp;$C$3+IF($C$87="x",$I$3,$I$2)-$C$120+IF($C$75="x",2)+$I$16-$B$10+$M$94+IF($C$77="x",2)-IF($C$78="x",4)-IF($I$78="x",1)-IF($C$79="x",4)+IF($C$80="x",1)-IF($I$77="x",2)-IF($I$90="x",2)+IF($I$83="x",2)-IF($C$83="x",4)-$C$112-10+IF(H641="x",1)+I641+$M$77+IF(H643="x",1)+IF(J643="x",1)+IF($M$76="x",2)+J641+IF($M$85="x",1)+IF($M$113="x",1)+IF($M$120="x",2)+IF($M$119="x",2)+IF($M$105="x",1)+IF($M$110="x",1)+IF($M$111="x",2)+IF($M$112="x",4)+IF($M$108="x",1)-IF($M$109="x",1)-IF($M$99="x",1)+IF($M$90="x",1)-IF($C$97="x",4,6),
IF(AND($C$3&gt;15),$C$3+IF($C$87="x",$I$3,$I$2)-$C$120+IF($C$75="x",2)+$I$16-$B$10+$M$94+IF($C$77="x",2)-IF($C$78="x",4)-IF($I$78="x",1)-IF($C$79="x",4)+IF($C$80="x",1)-IF($I$77="x",2)-IF($I$90="x",2)+IF($I$83="x",2)-IF($C$83="x",4)-$C$112+IF(H641="x",1)+I641+$M$77+IF(H643="x",1)+IF(J643="x",1)+IF($M$76="x",2)+J641+IF($M$85="x",1)+IF($M$113="x",1)+IF($M$120="x",2)+IF($M$119="x",2)+IF($M$105="x",1)+IF($M$110="x",1)+IF($M$111="x",2)+IF($M$112="x",4)+IF($M$108="x",1)-IF($M$109="x",1)-IF($M$99="x",1)+IF($M$90="x",1)-IF($C$97="x",4,6)
&amp;"/"&amp;$C$3+IF($C$87="x",$I$3,$I$2)-$C$120+IF($C$75="x",2)+$I$16-$B$10+$M$94+IF($C$77="x",2)-IF($C$78="x",4)-IF($I$78="x",1)-IF($C$79="x",4)+IF($C$80="x",1)-IF($I$77="x",2)-IF($I$90="x",2)+IF($I$83="x",2)-IF($C$83="x",4)-$C$112-5+IF(H641="x",1)+I641+$M$77+IF(H643="x",1)+IF(J643="x",1)+IF($M$76="x",2)+J641+IF($M$85="x",1)+IF($M$113="x",1)+IF($M$120="x",2)+IF($M$119="x",2)+IF($M$105="x",1)+IF($M$110="x",1)+IF($M$111="x",2)+IF($M$112="x",4)+IF($M$108="x",1)-IF($M$109="x",1)-IF($M$99="x",1)+IF($M$90="x",1)-IF($C$97="x",4,6)
&amp;"/"&amp;$C$3+IF($C$87="x",$I$3,$I$2)-$C$120+IF($C$75="x",2)+$I$16-$B$10+$M$94+IF($C$77="x",2)-IF($C$78="x",4)-IF($I$78="x",1)-IF($C$79="x",4)+IF($C$80="x",1)-IF($I$77="x",2)-IF($I$90="x",2)+IF($I$83="x",2)-IF($C$83="x",4)-$C$112-10+IF(H641="x",1)+I641+$M$77+IF(H643="x",1)+IF(J643="x",1)+IF($M$76="x",2)+J641+IF($M$85="x",1)+IF($M$113="x",1)+IF($M$120="x",2)+IF($M$119="x",2)+IF($M$105="x",1)+IF($M$110="x",1)+IF($M$111="x",2)+IF($M$112="x",4)+IF($M$108="x",1)-IF($M$109="x",1)-IF($M$99="x",1)+IF($M$90="x",1)-IF($C$97="x",4,6)
&amp;"/"&amp;$C$3+IF($C$87="x",$I$3,$I$2)-$C$120+IF($C$75="x",2)+$I$16-$B$10+$M$94+IF($C$77="x",2)-IF($C$78="x",4)-IF($I$78="x",1)-IF($C$79="x",4)+IF($C$80="x",1)-IF($I$77="x",2)-IF($I$90="x",2)+IF($I$83="x",2)-IF($C$83="x",4)-$C$112-15+IF(H641="x",1)+I641+$M$77+IF(H643="x",1)+IF(J643="x",1)+IF($M$76="x",2)+J641+IF($M$85="x",1)+IF($M$113="x",1)+IF($M$120="x",2)+IF($M$119="x",2)+IF($M$105="x",1)+IF($M$110="x",1)+IF($M$111="x",2)+IF($M$112="x",4)+IF($M$108="x",1)-IF($M$109="x",1)-IF($M$99="x",1)+IF($M$90="x",1)-IF($C$97="x",4,6))))))</f>
        <v>-6</v>
      </c>
      <c r="C644" s="49" t="str">
        <f>_xlfn.IFS($C$7="Minimaalinen","–",$C$7="Taskukokoinen","–",$C$7="Hyvin pieni","1",$C$7="Pieni","1n2",$C$7="Keskikokoinen","1n3",$C$7="Iso","1n4",$C$7="Valtava","1n6",$C$7="Suunnaton","1n8",$C$7="Giganttinen","2n6")</f>
        <v>1n3</v>
      </c>
      <c r="D644" s="121">
        <f>SUM($I$2+$C$120)+I641+$M$77+IF(I643="x",2)+IF(K643="x",2)+IF($M$119="x",2)+IF($M$108="x",1)+$M$94-IF($M$109="x",1)+K641</f>
        <v>0</v>
      </c>
      <c r="E644" s="49" t="str">
        <f>_xlfn.IFS($C$7="Minimaalinen","–",$C$7="Taskukokoinen","–",$C$7="Hyvin pieni","2",$C$7="Pieni","2n2",$C$7="Keskikokoinen","2n3",$C$7="Iso","2n4",$C$7="Valtava","2n6",$C$7="Suunnaton","2n8",$C$7="Giganttinen","4n6")</f>
        <v>2n3</v>
      </c>
      <c r="F644" s="82">
        <f>SUM(D644*2)</f>
        <v>0</v>
      </c>
      <c r="G644" s="82" t="str">
        <f>(IF($I$89="x","50 %","")&amp;(IF($C$81="x","20 %",""))&amp;(IF($C$82="x","50 %","")))</f>
        <v/>
      </c>
      <c r="H644" s="11" t="s">
        <v>240</v>
      </c>
      <c r="I644" s="15"/>
      <c r="AB644" s="62"/>
      <c r="AC644" s="53"/>
      <c r="AD644" s="49"/>
      <c r="AE644" s="51"/>
      <c r="AF644" s="49"/>
      <c r="AG644" s="49"/>
      <c r="AH644" s="49"/>
      <c r="AI644" s="48"/>
      <c r="AJ644" s="48"/>
      <c r="AK644" s="48"/>
    </row>
    <row r="645" spans="1:38" x14ac:dyDescent="0.2">
      <c r="A645" s="122" t="s">
        <v>436</v>
      </c>
      <c r="B645" s="123">
        <f>IF($I$85="x","PAINISSA",IF(AND($C$90="",$C$118=""),SUM($C$3,$I$2)-$C$120+IF($C$75="x",2)+$I$16-$B$10+$M$94+IF($C$77="x",2)-IF($C$78="x",4)-IF($I$78="x",1)-IF($C$79="x",4)+IF($C$80="x",1)-IF($I$77="x",2)-IF($I$90="x",2)+IF($I$83="x",2)-IF($C$75="x",4)-$C$112+IF(H643="x",1)+I643+$M$77+IF(H645="x",1)+IF(J645="x",1)+IF($M$76="x",2)+J643+IF($M$85="x",1)+IF($M$113="x",1)+IF($M$120="x",2)+IF($M$119="x",2)+IF($M$105="x",1)+IF($M$110="x",1)+IF($M$111="x",2)+IF($M$112="x",4)+IF($M$108="x",1)-IF($M$109="x",1)-IF($M$99="x",1)+IF($M$90="x",1)-IF($C$97="x",2,8),
IF(AND($C$90="x",$C$118=""),SUM($C$3,$I$2)-$C$120+IF($C$75="x",2)+$I$16-$B$10+$M$94+IF($C$77="x",2)-IF($C$78="x",4)-IF($I$78="x",1)-IF($C$79="x",4)+IF($C$80="x",1)-IF($I$77="x",2)-IF($I$90="x",2)+IF($I$83="x",2)-IF($C$83="x",4)-$C$112+IF(H643="x",1)+I643+$M$77+IF(H645="x",1)+IF(J645="x",1)+IF($M$76="x",2)+J643+IF($M$85="x",1)+IF($M$113="x",1)+IF($M$120="x",2)+IF($M$119="x",2)+IF($M$105="x",1)+IF($M$110="x",1)+IF($M$111="x",2)+IF($M$112="x",4)+IF($M$108="x",1)-IF($M$109="x",1)-IF($M$99="x",1)+IF($M$90="x",1)-IF($C$97="x",2,8)
&amp;"/"&amp;SUM($C$3,$I$2)-$C$120+IF($C$75="x",2)+$I$16-$B$10+$M$94+IF($C$77="x",2)-IF($C$78="x",4)-IF($I$78="x",1)-IF($C$79="x",4)+IF($C$80="x",1)-IF($I$77="x",2)-IF($I$90="x",2)+IF($I$83="x",2)-IF($C$83="x",4)-$C$112+IF(H643="x",1)+I643+$M$77+IF(H645="x",1)+IF(J645="x",1)+IF($M$76="x",2)+J643+IF($M$85="x",1)+IF($M$113="x",1)+IF($M$120="x",2)+IF($M$119="x",2)+IF($M$105="x",1)+IF($M$110="x",1)+IF($M$111="x",2)+IF($M$112="x",4)+IF($M$108="x",1)-IF($M$109="x",1)-IF($M$99="x",1)+IF($M$90="x",1)-IF($C$97="x",2,8)-5,
IF(AND($C$90="x",$C$118="x"),SUM($C$3,$I$2)-$C$120+IF($C$75="x",2)+$I$16-$B$10+$M$94+IF($C$77="x",2)-IF($C$78="x",4)-IF($I$78="x",1)-IF($C$79="x",4)+IF($C$80="x",1)-IF($I$77="x",2)-IF($I$90="x",2)+IF($I$83="x",2)-IF($C$83="x",4)-$C$112+IF(H643="x",1)+I643+$M$77+IF(H645="x",1)+IF(J645="x",1)+IF($M$76="x",2)+J643+IF($M$85="x",1)+IF($M$113="x",1)+IF($M$120="x",2)+IF($M$119="x",2)+IF($M$105="x",1)+IF($M$110="x",1)+IF($M$111="x",2)+IF($M$112="x",4)+IF($M$108="x",1)-IF($M$109="x",1)+IF($M$99="x",20)-IF($M$99="x",1)+IF($M$90="x",1)-IF($C$97="x",2,8)
&amp;"/"&amp;SUM($C$3,$I$2)-$C$120+IF($C$75="x",2)+$I$16-$B$10+$M$94+IF($C$77="x",2)-IF($C$78="x",4)-IF($I$78="x",1)-IF($C$79="x",4)+IF($C$80="x",1)-IF($I$77="x",2)-IF($I$90="x",2)+IF($I$83="x",2)-IF($C$83="x",4)-$C$112-5+IF(H643="x",1)+I643+$M$77+IF(H645="x",1)+IF(J645="x",1)+IF($M$76="x",2)+J643+IF($M$85="x",1)+IF($M$113="x",1)+IF($M$120="x",2)+IF($M$119="x",2)+IF($M$105="x",1)+IF($M$110="x",1)+IF($M$111="x",2)+IF($M$112="x",4)+IF($M$108="x",1)-IF($M$109="x",1)-IF($M$99="x",1)+IF($M$90="x",1)-IF($C$97="x",4,10)
&amp;"/"&amp;SUM($C$3,$I$2)-$C$120+IF($C$75="x",2)+$I$16-$B$10+$M$94+IF($C$77="x",2)-IF($C$78="x",4)-IF($I$78="x",1)-IF($C$79="x",4)+IF($C$80="x",1)-IF($I$77="x",2)-IF($I$90="x",2)+IF($I$83="x",2)-IF($C$83="x",4)-$C$112-10+IF(H643="x",1)+I643+$M$77+IF(H645="x",1)+IF(J645="x",1)+IF($M$76="x",2)+J643+IF($M$85="x",1)+IF($M$113="x",1)+IF($M$120="x",2)+IF($M$119="x",2)+IF($M$105="x",1)+IF($M$110="x",1)+IF($M$111="x",2)+IF($M$112="x",4)+IF($M$108="x",1)-IF($M$109="x",1)-IF($M$99="x",1)+IF($M$90="x",1)-IF($C$97="x",2,8)))))</f>
        <v>-8</v>
      </c>
      <c r="C645" s="54" t="str">
        <f>_xlfn.IFS($C$7="Minimaalinen","–",$C$7="Taskukokoinen","–",$C$7="Hyvin pieni","1",$C$7="Pieni","1n2",$C$7="Keskikokoinen","1n3",$C$7="Iso","1n4",$C$7="Valtava","1n6",$C$7="Suunnaton","1n8",$C$7="Giganttinen","2n6")</f>
        <v>1n3</v>
      </c>
      <c r="D645" s="123">
        <f>INT($I$2/2)+($C$120)+I203+$M$77+IF(I205="x",2)+IF(K205="x",2)+IF($M$119="x",2)+IF($M$108="x",1)+$M$94+K203-IF($M$109="x",1)</f>
        <v>0</v>
      </c>
      <c r="E645" s="54" t="str">
        <f>_xlfn.IFS($C$7="Minimaalinen","–",$C$7="Taskukokoinen","–",$C$7="Hyvin pieni","2",$C$7="Pieni","2n2",$C$7="Keskikokoinen","2n3",$C$7="Iso","2n4",$C$7="Valtava","2n6",$C$7="Suunnaton","2n8",$C$7="Giganttinen","4n6")</f>
        <v>2n3</v>
      </c>
      <c r="F645" s="124">
        <f>SUM(D645*2)</f>
        <v>0</v>
      </c>
      <c r="G645" s="124" t="str">
        <f>(IF($I$89="x","50 %","")&amp;(IF($C$81="x","20 %",""))&amp;(IF($C$82="x","50 %","")))</f>
        <v/>
      </c>
      <c r="H645" s="138" t="str">
        <f>_xlfn.IFS(C7="Minimaalinen","0 j",C7="Taskukokoinen","0 j",C7="Hyvin pieni","5 j",C7="Pieni","10 j",C7="Keskikokoinen","10 j",C7="Iso","20 j",C7="Valtava","30 j",C7="Suunnaton","40 j",C7="Giganttinen","60 j")</f>
        <v>10 j</v>
      </c>
      <c r="I645" s="15"/>
      <c r="L645" s="109"/>
      <c r="M645" s="109"/>
      <c r="N645" s="110"/>
      <c r="AB645" s="59"/>
      <c r="AC645" s="51"/>
      <c r="AD645" s="49"/>
      <c r="AE645" s="51"/>
      <c r="AF645" s="49"/>
      <c r="AG645" s="49"/>
      <c r="AH645" s="49"/>
      <c r="AI645" s="40"/>
      <c r="AJ645" s="40"/>
      <c r="AK645" s="40"/>
      <c r="AL645" s="50"/>
    </row>
    <row r="646" spans="1:38" x14ac:dyDescent="0.2">
      <c r="A646" s="150"/>
      <c r="B646" s="151"/>
      <c r="C646" s="151"/>
      <c r="D646" s="151"/>
      <c r="E646" s="151"/>
      <c r="F646" s="151"/>
      <c r="G646" s="151"/>
      <c r="H646" s="148"/>
      <c r="I646" s="148"/>
      <c r="J646" s="148"/>
      <c r="K646" s="148"/>
      <c r="L646" s="81"/>
      <c r="M646" s="81"/>
      <c r="N646" s="90"/>
      <c r="AB646" s="62"/>
      <c r="AC646" s="53"/>
      <c r="AD646" s="49"/>
      <c r="AE646" s="51"/>
      <c r="AF646" s="49"/>
      <c r="AG646" s="49"/>
      <c r="AH646" s="49"/>
      <c r="AI646" s="49"/>
      <c r="AJ646" s="50"/>
      <c r="AK646" s="65"/>
      <c r="AL646" s="65"/>
    </row>
    <row r="647" spans="1:38" x14ac:dyDescent="0.2">
      <c r="A647" s="57"/>
      <c r="B647" s="57"/>
      <c r="C647" s="57"/>
      <c r="D647" s="57"/>
      <c r="E647" s="57"/>
      <c r="F647" s="57"/>
      <c r="G647" s="57"/>
      <c r="H647" s="40"/>
      <c r="I647" s="40"/>
      <c r="J647" s="40"/>
      <c r="K647" s="40"/>
      <c r="AB647" s="59"/>
      <c r="AC647" s="51"/>
      <c r="AD647" s="49"/>
      <c r="AE647" s="51"/>
      <c r="AF647" s="49"/>
      <c r="AG647" s="49"/>
      <c r="AH647" s="49"/>
      <c r="AI647" s="49"/>
      <c r="AJ647" s="40"/>
      <c r="AK647" s="65"/>
      <c r="AL647" s="65"/>
    </row>
    <row r="648" spans="1:38" x14ac:dyDescent="0.2">
      <c r="A648" s="34" t="s">
        <v>241</v>
      </c>
      <c r="B648" s="15"/>
      <c r="C648" s="15"/>
      <c r="D648" s="15"/>
      <c r="F648" s="15"/>
      <c r="G648" s="15"/>
      <c r="H648" s="15"/>
      <c r="I648" s="15"/>
      <c r="AB648" s="62"/>
      <c r="AC648" s="53"/>
      <c r="AD648" s="49"/>
      <c r="AE648" s="51"/>
      <c r="AF648" s="49"/>
      <c r="AG648" s="49"/>
      <c r="AH648" s="49"/>
      <c r="AI648" s="49"/>
      <c r="AJ648" s="49"/>
      <c r="AK648" s="65"/>
      <c r="AL648" s="65"/>
    </row>
    <row r="649" spans="1:38" x14ac:dyDescent="0.2">
      <c r="A649" s="10"/>
      <c r="B649" s="15"/>
      <c r="C649" s="15"/>
      <c r="D649" s="15"/>
      <c r="F649" s="15"/>
      <c r="G649" s="15"/>
      <c r="H649" s="15"/>
      <c r="I649" s="15"/>
      <c r="AB649" s="62"/>
      <c r="AC649" s="53"/>
      <c r="AD649" s="49"/>
      <c r="AE649" s="51"/>
      <c r="AF649" s="49"/>
      <c r="AG649" s="49"/>
      <c r="AH649" s="49"/>
      <c r="AI649" s="49"/>
      <c r="AJ649" s="49"/>
      <c r="AK649" s="65"/>
      <c r="AL649" s="65"/>
    </row>
    <row r="650" spans="1:38" x14ac:dyDescent="0.2">
      <c r="A650" s="34" t="s">
        <v>265</v>
      </c>
      <c r="B650" s="11" t="s">
        <v>1</v>
      </c>
      <c r="C650" s="11" t="s">
        <v>2</v>
      </c>
      <c r="D650" s="11" t="s">
        <v>3</v>
      </c>
      <c r="E650" s="11" t="s">
        <v>229</v>
      </c>
      <c r="F650" s="11" t="s">
        <v>3</v>
      </c>
      <c r="G650" s="11" t="s">
        <v>45</v>
      </c>
      <c r="H650" s="14" t="s">
        <v>179</v>
      </c>
      <c r="I650" s="11" t="s">
        <v>242</v>
      </c>
      <c r="J650" s="11" t="s">
        <v>224</v>
      </c>
      <c r="K650" s="11" t="s">
        <v>225</v>
      </c>
      <c r="AB650" s="59"/>
      <c r="AC650" s="51"/>
      <c r="AD650" s="49"/>
      <c r="AE650" s="51"/>
      <c r="AF650" s="49"/>
      <c r="AG650" s="49"/>
      <c r="AH650" s="49"/>
      <c r="AI650" s="49"/>
      <c r="AJ650" s="67"/>
    </row>
    <row r="651" spans="1:38" x14ac:dyDescent="0.2">
      <c r="A651" s="126">
        <f>IF($C$98="x",10*1.5,10)</f>
        <v>10</v>
      </c>
      <c r="B651" s="121">
        <f>_xlfn.IFS($I$85="x",
"PAINISSA",
$C$106="",
SUM($C$3,$I$3)+IF(H655="x",1)+$I$16-$B$10+$M$94+IF($C$77="x",2)-IF($C$78="x",4)-IF($I$78="x",1)-IF($I$77="x",2)-IF($I$90="x",2)+IF($I$83="x",2)-IF($C$76="x",4)-$C$112+IF(H651="x",1)+I651+$M$77+IF(H653="x",1)+IF(J653="x",1)+IF($M$76="x",2)+J651+IF($M$85="x",1)+IF($M$113="x",1)+IF($M$120="x",2)+IF($M$119="x",2)+IF($M$105="x",1)+IF($M$110="x",1)+IF($M$111="x",2)+IF($M$112="x",4)+IF($M$108="x",1)-IF($M$109="x",1)-IF($M$99="x",1)+IF($M$90="x",1),
$B$3&lt;6,
SUM($C$3,$I$3)+IF(H655="x",1)+$I$16-$B$10+$M$94+IF($C$77="x",2)-IF($C$78="x",4)-IF($I$78="x",1)-IF($I$77="x",2)-IF($I$90="x",2)+IF($I$83="x",2)-IF($C$76="x",4)-$C$112+IF(H651="x",1)+I651+$M$77+IF(H653="x",1)+IF(J653="x",1)+IF($M$76="x",2)+J651+IF($M$85="x",1)+IF($M$113="x",1)+IF($M$120="x",2)+IF($M$119="x",2)+IF($M$105="x",1)+IF($M$110="x",1)+IF($M$111="x",2)+IF($M$112="x",4)+IF($M$108="x",1)-IF($M$109="x",1)-IF($M$99="x",1)+IF($M$90="x",1),
$B$3&lt;11,
SUM($C$3,$I$3)+IF(H655="x",1)+$I$16-$B$10+$M$94+IF($C$77="x",2)-IF($C$78="x",4)-IF($I$78="x",1)-IF($I$77="x",2)-IF($I$90="x",2)+IF($I$83="x",2)-IF($C$76="x",4)-$C$112+IF(H651="x",1)+I651+$M$77+IF(H653="x",1)+IF(J653="x",1)+IF($M$76="x",2)+J651+IF($M$85="x",1)+IF($M$113="x",1)+IF($M$120="x",2)+IF($M$119="x",2)+IF($M$105="x",1)+IF($M$110="x",1)+IF($M$111="x",2)+IF($M$112="x",4)+IF($M$108="x",1)-IF($M$109="x",1)-IF($M$99="x",1)+IF($M$90="x",1)
&amp;"/"&amp;SUM($C$3,$I$3)+IF(H655="x",1)+$I$16-$B$10+$M$94+IF($C$77="x",2)-IF($C$78="x",4)-IF($I$78="x",1)-IF($I$77="x",2)-IF($I$90="x",2)+IF($I$83="x",2)-IF($C$76="x",4)-$C$112+IF(H651="x",1)+I651+$M$77+IF(H653="x",1)+IF(J653="x",1)+IF($M$76="x",2)+J651+IF($M$85="x",1)+IF($M$113="x",1)+IF($M$120="x",2)+IF($M$119="x",2)+IF($M$105="x",1)+IF($M$110="x",1)+IF($M$111="x",2)+IF($M$112="x",4)+IF($M$108="x",1)-IF($M$109="x",1)-IF($M$99="x",1)+IF($M$90="x",1)-5,
$B$3&lt;16,
SUM($C$3,$I$3)+IF(H655="x",1)+$I$16-$B$10+$M$94+IF($C$77="x",2)-IF($C$78="x",4)-IF($I$78="x",1)-IF($I$77="x",2)-IF($I$90="x",2)+IF($I$83="x",2)-IF($C$76="x",4)-$C$112+IF(H651="x",1)+I651+$M$77+IF(H653="x",1)+IF(J653="x",1)+IF($M$76="x",2)+J651+IF($M$85="x",1)+IF($M$113="x",1)+IF($M$120="x",2)+IF($M$119="x",2)+IF($M$105="x",1)+IF($M$110="x",1)+IF($M$111="x",2)+IF($M$112="x",4)+IF($M$108="x",1)-IF($M$109="x",1)-IF($M$99="x",1)+IF($M$90="x",1)
&amp;"/"&amp;SUM($C$3,$I$3)+IF(H655="x",1)+$I$16-$B$10+$M$94+IF($C$77="x",2)-IF($C$78="x",4)-IF($I$78="x",1)-IF($I$77="x",2)-IF($I$90="x",2)+IF($I$83="x",2)-IF($C$76="x",4)-$C$112+IF(H651="x",1)+I651+$M$77+IF(H653="x",1)+IF(J653="x",1)+IF($M$76="x",2)+J651+IF($M$85="x",1)+IF($M$113="x",1)+IF($M$120="x",2)+IF($M$119="x",2)+IF($M$105="x",1)+IF($M$110="x",1)+IF($M$111="x",2)+IF($M$112="x",4)+IF($M$108="x",1)-IF($M$109="x",1)-IF($M$99="x",1)+IF($M$90="x",1)-5
&amp;"/"&amp;SUM($C$3,$I$3)+IF(H655="x",1)+$I$16-$B$10+$M$94+IF($C$77="x",2)-IF($C$78="x",4)-IF($I$78="x",1)-IF($I$77="x",2)-IF($I$90="x",2)+IF($I$83="x",2)-IF($C$76="x",4)-$C$112+IF(H651="x",1)+I651+$M$77+IF(H653="x",1)+IF(J653="x",1)+IF($M$76="x",2)+J651+IF($M$85="x",1)+IF($M$113="x",1)+IF($M$120="x",2)+IF($M$119="x",2)+IF($M$105="x",1)+IF($M$110="x",1)+IF($M$111="x",2)+IF($M$112="x",4)+IF($M$108="x",1)-IF($M$109="x",1)-IF($M$99="x",1)+IF($M$90="x",1)-10,
$B$3&gt;=16,
SUM($C$3,$I$3)+IF(H655="x",1)+$I$16-$B$10+$M$94+IF($C$77="x",2)-IF($C$78="x",4)-IF($I$78="x",1)-IF($I$77="x",2)-IF($I$90="x",2)+IF($I$83="x",2)-IF($C$76="x",4)-$C$112+IF(H651="x",1)+I651+$M$77+IF(H653="x",1)+IF(J653="x",1)+IF($M$76="x",2)+J651+IF($M$85="x",1)+IF($M$113="x",1)+IF($M$120="x",2)+IF($M$119="x",2)+IF($M$105="x",1)+IF($M$110="x",1)+IF($M$111="x",2)+IF($M$112="x",4)+IF($M$108="x",1)-IF($M$109="x",1)-IF($M$99="x",1)+IF($M$90="x",1)
&amp;"/"&amp;SUM($C$3,$I$3)+IF(H655="x",1)+$I$16-$B$10+$M$94+IF($C$77="x",2)-IF($C$78="x",4)-IF($I$78="x",1)-IF($I$77="x",2)-IF($I$90="x",2)+IF($I$83="x",2)-IF($C$76="x",4)-$C$112+IF(H651="x",1)+I651+$M$77+IF(H653="x",1)+IF(J653="x",1)+IF($M$76="x",2)+J651+IF($M$85="x",1)+IF($M$113="x",1)+IF($M$120="x",2)+IF($M$119="x",2)+IF($M$105="x",1)+IF($M$110="x",1)+IF($M$111="x",2)+IF($M$112="x",4)+IF($M$108="x",1)-IF($M$109="x",1)-IF($M$99="x",1)+IF($M$90="x",1)-5
&amp;"/"&amp;SUM($C$3,$I$3)+IF(H655="x",1)+$I$16-$B$10+$M$94+IF($C$77="x",2)-IF($C$78="x",4)-IF($I$78="x",1)-IF($I$77="x",2)-IF($I$90="x",2)+IF($I$83="x",2)-IF($C$76="x",4)-$C$112+IF(H651="x",1)+I651+$M$77+IF(H653="x",1)+IF(J653="x",1)+IF($M$76="x",2)+J651+IF($M$85="x",1)+IF($M$113="x",1)+IF($M$120="x",2)+IF($M$119="x",2)+IF($M$105="x",1)+IF($M$110="x",1)+IF($M$111="x",2)+IF($M$112="x",4)+IF($M$108="x",1)-IF($M$109="x",1)-IF($M$99="x",1)+IF($M$90="x",1)-10
&amp;"/"&amp;SUM($C$3,$I$3)+IF(H655="x",1)+$I$16-$B$10+$M$94+IF($C$77="x",2)-IF($C$78="x",4)-IF($I$78="x",1)-IF($I$77="x",2)-IF($I$90="x",2)+IF($I$83="x",2)-IF($C$76="x",4)-$C$112+IF(H651="x",1)+I651+$M$77+IF(H653="x",1)+IF(J653="x",1)+IF($M$76="x",2)+J651+IF($M$85="x",1)+IF($M$113="x",1)+IF($M$120="x",2)+IF($M$119="x",2)+IF($M$105="x",1)+IF($M$110="x",1)+IF($M$111="x",2)+IF($M$112="x",4)+IF($M$108="x",1)-IF($M$109="x",1)-IF($M$99="x",1)+IF($M$90="x",1)-15)</f>
        <v>0</v>
      </c>
      <c r="C651" s="49" t="str">
        <f>_xlfn.IFS($C$7="Minimaalinen","–",$C$7="Taskukokoinen","1",$C$7="Hyvin pieni","1n2",$C$7="Pieni","1n3",$C$7="Keskikokoinen","1n4",$C$7="Iso","1n6",$C$7="Valtava","1n8",$C$7="Suunnaton","2n6",$C$7="Giganttinen","3n6")</f>
        <v>1n4</v>
      </c>
      <c r="D651" s="51">
        <f>SUM($I$2+$C$120)+I651+$M$77+IF(I653="x",2)+IF(K653="x",2)+IF($M$119="x",2)+IF($M$108="x",1)+$M$94-IF($M$109="x",1)+K651+IF(H655="x",1)</f>
        <v>0</v>
      </c>
      <c r="E651" s="49" t="str">
        <f>_xlfn.IFS($C$7="Minimaalinen","–",$C$7="Taskukokoinen","2",$C$7="Hyvin pieni","2n2",$C$7="Pieni","2n3",$C$7="Keskikokoinen","2n4",$C$7="Iso","2n6",$C$7="Valtava","2n8",$C$7="Suunnaton","4n6",$C$7="Giganttinen","6n6")</f>
        <v>2n4</v>
      </c>
      <c r="F651" s="82">
        <f>SUM(D651*2)</f>
        <v>0</v>
      </c>
      <c r="G651" s="82" t="str">
        <f>(IF($I$89="x","50 %","")&amp;(IF($C$81="x","20 %",""))&amp;(IF($C$82="x","50 %","")))</f>
        <v/>
      </c>
      <c r="H651" s="28"/>
      <c r="I651" s="17">
        <v>0</v>
      </c>
      <c r="J651" s="17">
        <v>0</v>
      </c>
      <c r="K651" s="17">
        <v>0</v>
      </c>
      <c r="AB651" s="62"/>
      <c r="AC651" s="53"/>
      <c r="AD651" s="49"/>
      <c r="AE651" s="51"/>
      <c r="AF651" s="49"/>
      <c r="AG651" s="40"/>
      <c r="AH651" s="40"/>
      <c r="AI651" s="40"/>
      <c r="AJ651" s="67"/>
      <c r="AK651" s="50"/>
      <c r="AL651" s="50"/>
    </row>
    <row r="652" spans="1:38" x14ac:dyDescent="0.2">
      <c r="A652" s="127">
        <f>A651*2</f>
        <v>20</v>
      </c>
      <c r="B652" s="123">
        <f>_xlfn.IFS($I$85="x",
"PAINISSA",
$C$106="",
SUM($C$3,$I$3)+IF(H655="x",1)+$I$16-$B$10+$M$94+IF($C$77="x",2)-IF($C$78="x",4)-IF($I$78="x",1)-IF($I$77="x",2)-IF($I$90="x",2)+IF($I$83="x",2)-IF($C$76="x",4)-$C$112+IF(H651="x",1)+I651+$M$77+IF(H653="x",1)+IF(J653="x",1)+IF($M$76="x",2)+J651+IF($M$85="x",1)+IF($M$113="x",1)+IF($M$120="x",2)+IF($M$119="x",2)+IF($M$105="x",1)+IF($M$110="x",1)+IF($M$111="x",2)+IF($M$112="x",4)+IF($M$108="x",1)-IF($M$109="x",1)-IF($M$99="x",1)+IF($M$90="x",1)-2,
$B$3&lt;6,
SUM($C$3,$I$3)+IF(H655="x",1)+$I$16-$B$10+$M$94+IF($C$77="x",2)-IF($C$78="x",4)-IF($I$78="x",1)-IF($I$77="x",2)-IF($I$90="x",2)+IF($I$83="x",2)-IF($C$76="x",4)-$C$112+IF(H651="x",1)+I651+$M$77+IF(H653="x",1)+IF(J653="x",1)+IF($M$76="x",2)+J651+IF($M$85="x",1)+IF($M$113="x",1)+IF($M$120="x",2)+IF($M$119="x",2)+IF($M$105="x",1)+IF($M$110="x",1)+IF($M$111="x",2)+IF($M$112="x",4)+IF($M$108="x",1)-IF($M$109="x",1)-IF($M$99="x",1)+IF($M$90="x",1)-2,
$B$3&lt;11,
SUM($C$3,$I$3)+IF(H655="x",1)+$I$16-$B$10+$M$94+IF($C$77="x",2)-IF($C$78="x",4)-IF($I$78="x",1)-IF($I$77="x",2)-IF($I$90="x",2)+IF($I$83="x",2)-IF($C$76="x",4)-$C$112+IF(H651="x",1)+I651+$M$77+IF(H653="x",1)+IF(J653="x",1)+IF($M$76="x",2)+J651+IF($M$85="x",1)+IF($M$113="x",1)+IF($M$120="x",2)+IF($M$119="x",2)+IF($M$105="x",1)+IF($M$110="x",1)+IF($M$111="x",2)+IF($M$112="x",4)+IF($M$108="x",1)-IF($M$109="x",1)-IF($M$99="x",1)+IF($M$90="x",1)-2
&amp;"/"&amp;SUM($C$3,$I$3)+IF(H655="x",1)+$I$16-$B$10+$M$94+IF($C$77="x",2)-IF($C$78="x",4)-IF($I$78="x",1)-IF($I$77="x",2)-IF($I$90="x",2)+IF($I$83="x",2)-IF($C$76="x",4)-$C$112+IF(H651="x",1)+I651+$M$77+IF(H653="x",1)+IF(J653="x",1)+IF($M$76="x",2)+J651+IF($M$85="x",1)+IF($M$113="x",1)+IF($M$120="x",2)+IF($M$119="x",2)+IF($M$105="x",1)+IF($M$110="x",1)+IF($M$111="x",2)+IF($M$112="x",4)+IF($M$108="x",1)-IF($M$109="x",1)-IF($M$99="x",1)+IF($M$90="x",1)-5-2,
$B$3&lt;16,
SUM($C$3,$I$3)+IF(H655="x",1)+$I$16-$B$10+$M$94+IF($C$77="x",2)-IF($C$78="x",4)-IF($I$78="x",1)-IF($I$77="x",2)-IF($I$90="x",2)+IF($I$83="x",2)-IF($C$76="x",4)-$C$112+IF(H651="x",1)+I651+$M$77+IF(H653="x",1)+IF(J653="x",1)+IF($M$76="x",2)+J651+IF($M$85="x",1)+IF($M$113="x",1)+IF($M$120="x",2)+IF($M$119="x",2)+IF($M$105="x",1)+IF($M$110="x",1)+IF($M$111="x",2)+IF($M$112="x",4)+IF($M$108="x",1)-IF($M$109="x",1)-IF($M$99="x",1)+IF($M$90="x",1)-2
&amp;"/"&amp;SUM($C$3,$I$3)+IF(H655="x",1)+$I$16-$B$10+$M$94+IF($C$77="x",2)-IF($C$78="x",4)-IF($I$78="x",1)-IF($I$77="x",2)-IF($I$90="x",2)+IF($I$83="x",2)-IF($C$76="x",4)-$C$112+IF(H651="x",1)+I651+$M$77+IF(H653="x",1)+IF(J653="x",1)+IF($M$76="x",2)+J651+IF($M$85="x",1)+IF($M$113="x",1)+IF($M$120="x",2)+IF($M$119="x",2)+IF($M$105="x",1)+IF($M$110="x",1)+IF($M$111="x",2)+IF($M$112="x",4)+IF($M$108="x",1)-IF($M$109="x",1)-IF($M$99="x",1)+IF($M$90="x",1)-5-2
&amp;"/"&amp;SUM($C$3,$I$3)+IF(H655="x",1)+$I$16-$B$10+$M$94+IF($C$77="x",2)-IF($C$78="x",4)-IF($I$78="x",1)-IF($I$77="x",2)-IF($I$90="x",2)+IF($I$83="x",2)-IF($C$76="x",4)-$C$112+IF(H651="x",1)+I651+$M$77+IF(H653="x",1)+IF(J653="x",1)+IF($M$76="x",2)+J651+IF($M$85="x",1)+IF($M$113="x",1)+IF($M$120="x",2)+IF($M$119="x",2)+IF($M$105="x",1)+IF($M$110="x",1)+IF($M$111="x",2)+IF($M$112="x",4)+IF($M$108="x",1)-IF($M$109="x",1)-IF($M$99="x",1)+IF($M$90="x",1)-10-2,
$B$3&gt;=16,
SUM($C$3,$I$3)+IF(H655="x",1)+$I$16-$B$10+$M$94+IF($C$77="x",2)-IF($C$78="x",4)-IF($I$78="x",1)-IF($I$77="x",2)-IF($I$90="x",2)+IF($I$83="x",2)-IF($C$76="x",4)-$C$112+IF(H651="x",1)+I651+$M$77+IF(H653="x",1)+IF(J653="x",1)+IF($M$76="x",2)+J651+IF($M$85="x",1)+IF($M$113="x",1)+IF($M$120="x",2)+IF($M$119="x",2)+IF($M$105="x",1)+IF($M$110="x",1)+IF($M$111="x",2)+IF($M$112="x",4)+IF($M$108="x",1)-IF($M$109="x",1)-IF($M$99="x",1)+IF($M$90="x",1)-2
&amp;"/"&amp;SUM($C$3,$I$3)+IF(H655="x",1)+$I$16-$B$10+$M$94+IF($C$77="x",2)-IF($C$78="x",4)-IF($I$78="x",1)-IF($I$77="x",2)-IF($I$90="x",2)+IF($I$83="x",2)-IF($C$76="x",4)-$C$112+IF(H651="x",1)+I651+$M$77+IF(H653="x",1)+IF(J653="x",1)+IF($M$76="x",2)+J651+IF($M$85="x",1)+IF($M$113="x",1)+IF($M$120="x",2)+IF($M$119="x",2)+IF($M$105="x",1)+IF($M$110="x",1)+IF($M$111="x",2)+IF($M$112="x",4)+IF($M$108="x",1)-IF($M$109="x",1)-IF($M$99="x",1)+IF($M$90="x",1)-5-2
&amp;"/"&amp;SUM($C$3,$I$3)+IF(H655="x",1)+$I$16-$B$10+$M$94+IF($C$77="x",2)-IF($C$78="x",4)-IF($I$78="x",1)-IF($I$77="x",2)-IF($I$90="x",2)+IF($I$83="x",2)-IF($C$76="x",4)-$C$112+IF(H651="x",1)+I651+$M$77+IF(H653="x",1)+IF(J653="x",1)+IF($M$76="x",2)+J651+IF($M$85="x",1)+IF($M$113="x",1)+IF($M$120="x",2)+IF($M$119="x",2)+IF($M$105="x",1)+IF($M$110="x",1)+IF($M$111="x",2)+IF($M$112="x",4)+IF($M$108="x",1)-IF($M$109="x",1)-IF($M$99="x",1)+IF($M$90="x",1)-10-2
&amp;"/"&amp;SUM($C$3,$I$3)+IF(H655="x",1)+$I$16-$B$10+$M$94+IF($C$77="x",2)-IF($C$78="x",4)-IF($I$78="x",1)-IF($I$77="x",2)-IF($I$90="x",2)+IF($I$83="x",2)-IF($C$76="x",4)-$C$112+IF(H651="x",1)+I651+$M$77+IF(H653="x",1)+IF(J653="x",1)+IF($M$76="x",2)+J651+IF($M$85="x",1)+IF($M$113="x",1)+IF($M$120="x",2)+IF($M$119="x",2)+IF($M$105="x",1)+IF($M$110="x",1)+IF($M$111="x",2)+IF($M$112="x",4)+IF($M$108="x",1)-IF($M$109="x",1)-IF($M$99="x",1)+IF($M$90="x",1)-15-2)</f>
        <v>-2</v>
      </c>
      <c r="C652" s="82"/>
      <c r="D652" s="121"/>
      <c r="E652" s="82"/>
      <c r="F652" s="82"/>
      <c r="G652" s="123" t="str">
        <f>(IF($I$89="x","50 %","")&amp;(IF($C$81="x","20 %",""))&amp;(IF($C$82="x","50 %","")))</f>
        <v/>
      </c>
      <c r="H652" s="14" t="s">
        <v>220</v>
      </c>
      <c r="I652" s="14" t="s">
        <v>221</v>
      </c>
      <c r="J652" s="14" t="s">
        <v>222</v>
      </c>
      <c r="K652" s="14" t="s">
        <v>223</v>
      </c>
      <c r="AB652" s="59"/>
    </row>
    <row r="653" spans="1:38" x14ac:dyDescent="0.2">
      <c r="A653" s="126">
        <f>A651*3</f>
        <v>30</v>
      </c>
      <c r="B653" s="121">
        <f>_xlfn.IFS($I$85="x",
"PAINISSA",
$C$106="",
SUM($C$3,$I$3)+IF(H655="x",1)+$I$16-$B$10+$M$94+IF($C$77="x",2)-IF($C$78="x",4)-IF($I$78="x",1)-IF($I$77="x",2)-IF($I$90="x",2)+IF($I$83="x",2)-IF($C$76="x",4)-$C$112+IF(H651="x",1)+I651+$M$77+IF(H653="x",1)+IF(J653="x",1)+IF($M$76="x",2)+J651+IF($M$85="x",1)+IF($M$113="x",1)+IF($M$120="x",2)+IF($M$119="x",2)+IF($M$105="x",1)+IF($M$110="x",1)+IF($M$111="x",2)+IF($M$112="x",4)+IF($M$108="x",1)-IF($M$109="x",1)-IF($M$99="x",1)+IF($M$90="x",1)-4,
$B$3&lt;6,
SUM($C$3,$I$3)+IF(H655="x",1)+$I$16-$B$10+$M$94+IF($C$77="x",2)-IF($C$78="x",4)-IF($I$78="x",1)-IF($I$77="x",2)-IF($I$90="x",2)+IF($I$83="x",2)-IF($C$76="x",4)-$C$112+IF(H651="x",1)+I651+$M$77+IF(H653="x",1)+IF(J653="x",1)+IF($M$76="x",2)+J651+IF($M$85="x",1)+IF($M$113="x",1)+IF($M$120="x",2)+IF($M$119="x",2)+IF($M$105="x",1)+IF($M$110="x",1)+IF($M$111="x",2)+IF($M$112="x",4)+IF($M$108="x",1)-IF($M$109="x",1)-IF($M$99="x",1)+IF($M$90="x",1)-4,
$B$3&lt;11,
SUM($C$3,$I$3)+IF(H655="x",1)+$I$16-$B$10+$M$94+IF($C$77="x",2)-IF($C$78="x",4)-IF($I$78="x",1)-IF($I$77="x",2)-IF($I$90="x",2)+IF($I$83="x",2)-IF($C$76="x",4)-$C$112+IF(H651="x",1)+I651+$M$77+IF(H653="x",1)+IF(J653="x",1)+IF($M$76="x",2)+J651+IF($M$85="x",1)+IF($M$113="x",1)+IF($M$120="x",2)+IF($M$119="x",2)+IF($M$105="x",1)+IF($M$110="x",1)+IF($M$111="x",2)+IF($M$112="x",4)+IF($M$108="x",1)-IF($M$109="x",1)-IF($M$99="x",1)+IF($M$90="x",1)-4
&amp;"/"&amp;SUM($C$3,$I$3)+IF(H655="x",1)+$I$16-$B$10+$M$94+IF($C$77="x",2)-IF($C$78="x",4)-IF($I$78="x",1)-IF($I$77="x",2)-IF($I$90="x",2)+IF($I$83="x",2)-IF($C$76="x",4)-$C$112+IF(H651="x",1)+I651+$M$77+IF(H653="x",1)+IF(J653="x",1)+IF($M$76="x",2)+J651+IF($M$85="x",1)+IF($M$113="x",1)+IF($M$120="x",2)+IF($M$119="x",2)+IF($M$105="x",1)+IF($M$110="x",1)+IF($M$111="x",2)+IF($M$112="x",4)+IF($M$108="x",1)-IF($M$109="x",1)-IF($M$99="x",1)+IF($M$90="x",1)-5-4,
$B$3&lt;16,
SUM($C$3,$I$3)+IF(H655="x",1)+$I$16-$B$10+$M$94+IF($C$77="x",2)-IF($C$78="x",4)-IF($I$78="x",1)-IF($I$77="x",2)-IF($I$90="x",2)+IF($I$83="x",2)-IF($C$76="x",4)-$C$112+IF(H651="x",1)+I651+$M$77+IF(H653="x",1)+IF(J653="x",1)+IF($M$76="x",2)+J651+IF($M$85="x",1)+IF($M$113="x",1)+IF($M$120="x",2)+IF($M$119="x",2)+IF($M$105="x",1)+IF($M$110="x",1)+IF($M$111="x",2)+IF($M$112="x",4)+IF($M$108="x",1)-IF($M$109="x",1)-IF($M$99="x",1)+IF($M$90="x",1)-4
&amp;"/"&amp;SUM($C$3,$I$3)+IF(H655="x",1)+$I$16-$B$10+$M$94+IF($C$77="x",2)-IF($C$78="x",4)-IF($I$78="x",1)-IF($I$77="x",2)-IF($I$90="x",2)+IF($I$83="x",2)-IF($C$76="x",4)-$C$112+IF(H651="x",1)+I651+$M$77+IF(H653="x",1)+IF(J653="x",1)+IF($M$76="x",2)+J651+IF($M$85="x",1)+IF($M$113="x",1)+IF($M$120="x",2)+IF($M$119="x",2)+IF($M$105="x",1)+IF($M$110="x",1)+IF($M$111="x",2)+IF($M$112="x",4)+IF($M$108="x",1)-IF($M$109="x",1)-IF($M$99="x",1)+IF($M$90="x",1)-5-4
&amp;"/"&amp;SUM($C$3,$I$3)+IF(H655="x",1)+$I$16-$B$10+$M$94+IF($C$77="x",2)-IF($C$78="x",4)-IF($I$78="x",1)-IF($I$77="x",2)-IF($I$90="x",2)+IF($I$83="x",2)-IF($C$76="x",4)-$C$112+IF(H651="x",1)+I651+$M$77+IF(H653="x",1)+IF(J653="x",1)+IF($M$76="x",2)+J651+IF($M$85="x",1)+IF($M$113="x",1)+IF($M$120="x",2)+IF($M$119="x",2)+IF($M$105="x",1)+IF($M$110="x",1)+IF($M$111="x",2)+IF($M$112="x",4)+IF($M$108="x",1)-IF($M$109="x",1)-IF($M$99="x",1)+IF($M$90="x",1)-10-4,
$B$3&gt;=16,
SUM($C$3,$I$3)+IF(H655="x",1)+$I$16-$B$10+$M$94+IF($C$77="x",2)-IF($C$78="x",4)-IF($I$78="x",1)-IF($I$77="x",2)-IF($I$90="x",2)+IF($I$83="x",2)-IF($C$76="x",4)-$C$112+IF(H651="x",1)+I651+$M$77+IF(H653="x",1)+IF(J653="x",1)+IF($M$76="x",2)+J651+IF($M$85="x",1)+IF($M$113="x",1)+IF($M$120="x",2)+IF($M$119="x",2)+IF($M$105="x",1)+IF($M$110="x",1)+IF($M$111="x",2)+IF($M$112="x",4)+IF($M$108="x",1)-IF($M$109="x",1)-IF($M$99="x",1)+IF($M$90="x",1)-4
&amp;"/"&amp;SUM($C$3,$I$3)+IF(H655="x",1)+$I$16-$B$10+$M$94+IF($C$77="x",2)-IF($C$78="x",4)-IF($I$78="x",1)-IF($I$77="x",2)-IF($I$90="x",2)+IF($I$83="x",2)-IF($C$76="x",4)-$C$112+IF(H651="x",1)+I651+$M$77+IF(H653="x",1)+IF(J653="x",1)+IF($M$76="x",2)+J651+IF($M$85="x",1)+IF($M$113="x",1)+IF($M$120="x",2)+IF($M$119="x",2)+IF($M$105="x",1)+IF($M$110="x",1)+IF($M$111="x",2)+IF($M$112="x",4)+IF($M$108="x",1)-IF($M$109="x",1)-IF($M$99="x",1)+IF($M$90="x",1)-5-4
&amp;"/"&amp;SUM($C$3,$I$3)+IF(H655="x",1)+$I$16-$B$10+$M$94+IF($C$77="x",2)-IF($C$78="x",4)-IF($I$78="x",1)-IF($I$77="x",2)-IF($I$90="x",2)+IF($I$83="x",2)-IF($C$76="x",4)-$C$112+IF(H651="x",1)+I651+$M$77+IF(H653="x",1)+IF(J653="x",1)+IF($M$76="x",2)+J651+IF($M$85="x",1)+IF($M$113="x",1)+IF($M$120="x",2)+IF($M$119="x",2)+IF($M$105="x",1)+IF($M$110="x",1)+IF($M$111="x",2)+IF($M$112="x",4)+IF($M$108="x",1)-IF($M$109="x",1)-IF($M$99="x",1)+IF($M$90="x",1)-10-4
&amp;"/"&amp;SUM($C$3,$I$3)+IF(H655="x",1)+$I$16-$B$10+$M$94+IF($C$77="x",2)-IF($C$78="x",4)-IF($I$78="x",1)-IF($I$77="x",2)-IF($I$90="x",2)+IF($I$83="x",2)-IF($C$76="x",4)-$C$112+IF(H651="x",1)+I651+$M$77+IF(H653="x",1)+IF(J653="x",1)+IF($M$76="x",2)+J651+IF($M$85="x",1)+IF($M$113="x",1)+IF($M$120="x",2)+IF($M$119="x",2)+IF($M$105="x",1)+IF($M$110="x",1)+IF($M$111="x",2)+IF($M$112="x",4)+IF($M$108="x",1)-IF($M$109="x",1)-IF($M$99="x",1)+IF($M$90="x",1)-15-4)</f>
        <v>-4</v>
      </c>
      <c r="C653" s="82"/>
      <c r="D653" s="121"/>
      <c r="E653" s="82"/>
      <c r="F653" s="82"/>
      <c r="G653" s="82" t="str">
        <f>(IF($I$89="x","50 %","")&amp;(IF($C$81="x","20 %",""))&amp;(IF($C$82="x","50 %","")))</f>
        <v/>
      </c>
      <c r="H653" s="28"/>
      <c r="I653" s="28"/>
      <c r="J653" s="28"/>
      <c r="K653" s="28"/>
      <c r="AB653" s="46"/>
      <c r="AC653" s="48"/>
      <c r="AD653" s="48"/>
      <c r="AE653" s="48"/>
      <c r="AF653" s="48"/>
      <c r="AG653" s="48"/>
      <c r="AH653" s="48"/>
      <c r="AI653" s="48"/>
      <c r="AJ653" s="48"/>
      <c r="AK653" s="48"/>
      <c r="AL653" s="48"/>
    </row>
    <row r="654" spans="1:38" x14ac:dyDescent="0.2">
      <c r="A654" s="127">
        <f>A651*4</f>
        <v>40</v>
      </c>
      <c r="B654" s="123">
        <f>_xlfn.IFS($I$85="x",
"PAINISSA",
$C$106="",
SUM($C$3,$I$3)+IF(H655="x",1)+$I$16-$B$10+$M$94+IF($C$77="x",2)-IF($C$78="x",4)-IF($I$78="x",1)-IF($I$77="x",2)-IF($I$90="x",2)+IF($I$83="x",2)-IF($C$76="x",4)-$C$112+IF(H651="x",1)+I651+$M$77+IF(H653="x",1)+IF(J653="x",1)+IF($M$76="x",2)+J651+IF($M$85="x",1)+IF($M$113="x",1)+IF($M$120="x",2)+IF($M$119="x",2)+IF($M$105="x",1)+IF($M$110="x",1)+IF($M$111="x",2)+IF($M$112="x",4)+IF($M$108="x",1)-IF($M$109="x",1)-IF($M$99="x",1)+IF($M$90="x",1)-6,
$B$3&lt;6,
SUM($C$3,$I$3)+IF(H655="x",1)+$I$16-$B$10+$M$94+IF($C$77="x",2)-IF($C$78="x",4)-IF($I$78="x",1)-IF($I$77="x",2)-IF($I$90="x",2)+IF($I$83="x",2)-IF($C$76="x",4)-$C$112+IF(H651="x",1)+I651+$M$77+IF(H653="x",1)+IF(J653="x",1)+IF($M$76="x",2)+J651+IF($M$85="x",1)+IF($M$113="x",1)+IF($M$120="x",2)+IF($M$119="x",2)+IF($M$105="x",1)+IF($M$110="x",1)+IF($M$111="x",2)+IF($M$112="x",4)+IF($M$108="x",1)-IF($M$109="x",1)-IF($M$99="x",1)+IF($M$90="x",1)-6,
$B$3&lt;11,
SUM($C$3,$I$3)+IF(H655="x",1)+$I$16-$B$10+$M$94+IF($C$77="x",2)-IF($C$78="x",4)-IF($I$78="x",1)-IF($I$77="x",2)-IF($I$90="x",2)+IF($I$83="x",2)-IF($C$76="x",4)-$C$112+IF(H651="x",1)+I651+$M$77+IF(H653="x",1)+IF(J653="x",1)+IF($M$76="x",2)+J651+IF($M$85="x",1)+IF($M$113="x",1)+IF($M$120="x",2)+IF($M$119="x",2)+IF($M$105="x",1)+IF($M$110="x",1)+IF($M$111="x",2)+IF($M$112="x",4)+IF($M$108="x",1)-IF($M$109="x",1)-IF($M$99="x",1)+IF($M$90="x",1)-6
&amp;"/"&amp;SUM($C$3,$I$3)+IF(H655="x",1)+$I$16-$B$10+$M$94+IF($C$77="x",2)-IF($C$78="x",4)-IF($I$78="x",1)-IF($I$77="x",2)-IF($I$90="x",2)+IF($I$83="x",2)-IF($C$76="x",4)-$C$112+IF(H651="x",1)+I651+$M$77+IF(H653="x",1)+IF(J653="x",1)+IF($M$76="x",2)+J651+IF($M$85="x",1)+IF($M$113="x",1)+IF($M$120="x",2)+IF($M$119="x",2)+IF($M$105="x",1)+IF($M$110="x",1)+IF($M$111="x",2)+IF($M$112="x",4)+IF($M$108="x",1)-IF($M$109="x",1)-IF($M$99="x",1)+IF($M$90="x",1)-5-6,
$B$3&lt;16,
SUM($C$3,$I$3)+IF(H655="x",1)+$I$16-$B$10+$M$94+IF($C$77="x",2)-IF($C$78="x",4)-IF($I$78="x",1)-IF($I$77="x",2)-IF($I$90="x",2)+IF($I$83="x",2)-IF($C$76="x",4)-$C$112+IF(H651="x",1)+I651+$M$77+IF(H653="x",1)+IF(J653="x",1)+IF($M$76="x",2)+J651+IF($M$85="x",1)+IF($M$113="x",1)+IF($M$120="x",2)+IF($M$119="x",2)+IF($M$105="x",1)+IF($M$110="x",1)+IF($M$111="x",2)+IF($M$112="x",4)+IF($M$108="x",1)-IF($M$109="x",1)-IF($M$99="x",1)+IF($M$90="x",1)-6
&amp;"/"&amp;SUM($C$3,$I$3)+IF(H655="x",1)+$I$16-$B$10+$M$94+IF($C$77="x",2)-IF($C$78="x",4)-IF($I$78="x",1)-IF($I$77="x",2)-IF($I$90="x",2)+IF($I$83="x",2)-IF($C$76="x",4)-$C$112+IF(H651="x",1)+I651+$M$77+IF(H653="x",1)+IF(J653="x",1)+IF($M$76="x",2)+J651+IF($M$85="x",1)+IF($M$113="x",1)+IF($M$120="x",2)+IF($M$119="x",2)+IF($M$105="x",1)+IF($M$110="x",1)+IF($M$111="x",2)+IF($M$112="x",4)+IF($M$108="x",1)-IF($M$109="x",1)-IF($M$99="x",1)+IF($M$90="x",1)-5-6
&amp;"/"&amp;SUM($C$3,$I$3)+IF(H655="x",1)+$I$16-$B$10+$M$94+IF($C$77="x",2)-IF($C$78="x",4)-IF($I$78="x",1)-IF($I$77="x",2)-IF($I$90="x",2)+IF($I$83="x",2)-IF($C$76="x",4)-$C$112+IF(H651="x",1)+I651+$M$77+IF(H653="x",1)+IF(J653="x",1)+IF($M$76="x",2)+J651+IF($M$85="x",1)+IF($M$113="x",1)+IF($M$120="x",2)+IF($M$119="x",2)+IF($M$105="x",1)+IF($M$110="x",1)+IF($M$111="x",2)+IF($M$112="x",4)+IF($M$108="x",1)-IF($M$109="x",1)-IF($M$99="x",1)+IF($M$90="x",1)-10-6,
$B$3&gt;=16,
SUM($C$3,$I$3)+IF(H655="x",1)+$I$16-$B$10+$M$94+IF($C$77="x",2)-IF($C$78="x",4)-IF($I$78="x",1)-IF($I$77="x",2)-IF($I$90="x",2)+IF($I$83="x",2)-IF($C$76="x",4)-$C$112+IF(H651="x",1)+I651+$M$77+IF(H653="x",1)+IF(J653="x",1)+IF($M$76="x",2)+J651+IF($M$85="x",1)+IF($M$113="x",1)+IF($M$120="x",2)+IF($M$119="x",2)+IF($M$105="x",1)+IF($M$110="x",1)+IF($M$111="x",2)+IF($M$112="x",4)+IF($M$108="x",1)-IF($M$109="x",1)-IF($M$99="x",1)+IF($M$90="x",1)-6
&amp;"/"&amp;SUM($C$3,$I$3)+IF(H655="x",1)+$I$16-$B$10+$M$94+IF($C$77="x",2)-IF($C$78="x",4)-IF($I$78="x",1)-IF($I$77="x",2)-IF($I$90="x",2)+IF($I$83="x",2)-IF($C$76="x",4)-$C$112+IF(H651="x",1)+I651+$M$77+IF(H653="x",1)+IF(J653="x",1)+IF($M$76="x",2)+J651+IF($M$85="x",1)+IF($M$113="x",1)+IF($M$120="x",2)+IF($M$119="x",2)+IF($M$105="x",1)+IF($M$110="x",1)+IF($M$111="x",2)+IF($M$112="x",4)+IF($M$108="x",1)-IF($M$109="x",1)-IF($M$99="x",1)+IF($M$90="x",1)-5-6
&amp;"/"&amp;SUM($C$3,$I$3)+IF(H655="x",1)+$I$16-$B$10+$M$94+IF($C$77="x",2)-IF($C$78="x",4)-IF($I$78="x",1)-IF($I$77="x",2)-IF($I$90="x",2)+IF($I$83="x",2)-IF($C$76="x",4)-$C$112+IF(H651="x",1)+I651+$M$77+IF(H653="x",1)+IF(J653="x",1)+IF($M$76="x",2)+J651+IF($M$85="x",1)+IF($M$113="x",1)+IF($M$120="x",2)+IF($M$119="x",2)+IF($M$105="x",1)+IF($M$110="x",1)+IF($M$111="x",2)+IF($M$112="x",4)+IF($M$108="x",1)-IF($M$109="x",1)-IF($M$99="x",1)+IF($M$90="x",1)-10-6
&amp;"/"&amp;SUM($C$3,$I$3)+IF(H655="x",1)+$I$16-$B$10+$M$94+IF($C$77="x",2)-IF($C$78="x",4)-IF($I$78="x",1)-IF($I$77="x",2)-IF($I$90="x",2)+IF($I$83="x",2)-IF($C$76="x",4)-$C$112+IF(H651="x",1)+I651+$M$77+IF(H653="x",1)+IF(J653="x",1)+IF($M$76="x",2)+J651+IF($M$85="x",1)+IF($M$113="x",1)+IF($M$120="x",2)+IF($M$119="x",2)+IF($M$105="x",1)+IF($M$110="x",1)+IF($M$111="x",2)+IF($M$112="x",4)+IF($M$108="x",1)-IF($M$109="x",1)-IF($M$99="x",1)+IF($M$90="x",1)-15-6)</f>
        <v>-6</v>
      </c>
      <c r="C654" s="82"/>
      <c r="D654" s="121"/>
      <c r="E654" s="82"/>
      <c r="F654" s="82"/>
      <c r="G654" s="124" t="str">
        <f>(IF($I$89="x","50 %","")&amp;(IF($C$81="x","20 %",""))&amp;(IF($C$82="x","50 %","")))</f>
        <v/>
      </c>
      <c r="H654" s="14" t="s">
        <v>182</v>
      </c>
      <c r="I654" s="15"/>
      <c r="AB654" s="46"/>
      <c r="AC654" s="48"/>
      <c r="AD654" s="48"/>
      <c r="AE654" s="48"/>
      <c r="AF654" s="48"/>
      <c r="AG654" s="48"/>
      <c r="AH654" s="48"/>
      <c r="AI654" s="48"/>
      <c r="AJ654" s="48"/>
      <c r="AK654" s="48"/>
      <c r="AL654" s="48"/>
    </row>
    <row r="655" spans="1:38" x14ac:dyDescent="0.2">
      <c r="A655" s="126">
        <f>A651*5</f>
        <v>50</v>
      </c>
      <c r="B655" s="121">
        <f>_xlfn.IFS($I$85="x",
"PAINISSA",
$C$106="",
SUM($C$3,$I$3)+IF(H655="x",1)+$I$16-$B$10+$M$94+IF($C$77="x",2)-IF($C$78="x",4)-IF($I$78="x",1)-IF($I$77="x",2)-IF($I$90="x",2)+IF($I$83="x",2)-IF($C$76="x",4)-$C$112+IF(H651="x",1)+I651+$M$77+IF(H653="x",1)+IF(J653="x",1)+IF($M$76="x",2)+J651+IF($M$85="x",1)+IF($M$113="x",1)+IF($M$120="x",2)+IF($M$119="x",2)+IF($M$105="x",1)+IF($M$110="x",1)+IF($M$111="x",2)+IF($M$112="x",4)+IF($M$108="x",1)-IF($M$109="x",1)-IF($M$99="x",1)+IF($M$90="x",1)-8,
$B$3&lt;6,
SUM($C$3,$I$3)+IF(H655="x",1)+$I$16-$B$10+$M$94+IF($C$77="x",2)-IF($C$78="x",4)-IF($I$78="x",1)-IF($I$77="x",2)-IF($I$90="x",2)+IF($I$83="x",2)-IF($C$76="x",4)-$C$112+IF(H651="x",1)+I651+$M$77+IF(H653="x",1)+IF(J653="x",1)+IF($M$76="x",2)+J651+IF($M$85="x",1)+IF($M$113="x",1)+IF($M$120="x",2)+IF($M$119="x",2)+IF($M$105="x",1)+IF($M$110="x",1)+IF($M$111="x",2)+IF($M$112="x",4)+IF($M$108="x",1)-IF($M$109="x",1)-IF($M$99="x",1)+IF($M$90="x",1)-8,
$B$3&lt;11,
SUM($C$3,$I$3)+IF(H655="x",1)+$I$16-$B$10+$M$94+IF($C$77="x",2)-IF($C$78="x",4)-IF($I$78="x",1)-IF($I$77="x",2)-IF($I$90="x",2)+IF($I$83="x",2)-IF($C$76="x",4)-$C$112+IF(H651="x",1)+I651+$M$77+IF(H653="x",1)+IF(J653="x",1)+IF($M$76="x",2)+J651+IF($M$85="x",1)+IF($M$113="x",1)+IF($M$120="x",2)+IF($M$119="x",2)+IF($M$105="x",1)+IF($M$110="x",1)+IF($M$111="x",2)+IF($M$112="x",4)+IF($M$108="x",1)-IF($M$109="x",1)-IF($M$99="x",1)+IF($M$90="x",1)-8
&amp;"/"&amp;SUM($C$3,$I$3)+IF(H655="x",1)+$I$16-$B$10+$M$94+IF($C$77="x",2)-IF($C$78="x",4)-IF($I$78="x",1)-IF($I$77="x",2)-IF($I$90="x",2)+IF($I$83="x",2)-IF($C$76="x",4)-$C$112+IF(H651="x",1)+I651+$M$77+IF(H653="x",1)+IF(J653="x",1)+IF($M$76="x",2)+J651+IF($M$85="x",1)+IF($M$113="x",1)+IF($M$120="x",2)+IF($M$119="x",2)+IF($M$105="x",1)+IF($M$110="x",1)+IF($M$111="x",2)+IF($M$112="x",4)+IF($M$108="x",1)-IF($M$109="x",1)-IF($M$99="x",1)+IF($M$90="x",1)-5-8,
$B$3&lt;16,
SUM($C$3,$I$3)+IF(H655="x",1)+$I$16-$B$10+$M$94+IF($C$77="x",2)-IF($C$78="x",4)-IF($I$78="x",1)-IF($I$77="x",2)-IF($I$90="x",2)+IF($I$83="x",2)-IF($C$76="x",4)-$C$112+IF(H651="x",1)+I651+$M$77+IF(H653="x",1)+IF(J653="x",1)+IF($M$76="x",2)+J651+IF($M$85="x",1)+IF($M$113="x",1)+IF($M$120="x",2)+IF($M$119="x",2)+IF($M$105="x",1)+IF($M$110="x",1)+IF($M$111="x",2)+IF($M$112="x",4)+IF($M$108="x",1)-IF($M$109="x",1)-IF($M$99="x",1)+IF($M$90="x",1)-8
&amp;"/"&amp;SUM($C$3,$I$3)+IF(H655="x",1)+$I$16-$B$10+$M$94+IF($C$77="x",2)-IF($C$78="x",4)-IF($I$78="x",1)-IF($I$77="x",2)-IF($I$90="x",2)+IF($I$83="x",2)-IF($C$76="x",4)-$C$112+IF(H651="x",1)+I651+$M$77+IF(H653="x",1)+IF(J653="x",1)+IF($M$76="x",2)+J651+IF($M$85="x",1)+IF($M$113="x",1)+IF($M$120="x",2)+IF($M$119="x",2)+IF($M$105="x",1)+IF($M$110="x",1)+IF($M$111="x",2)+IF($M$112="x",4)+IF($M$108="x",1)-IF($M$109="x",1)-IF($M$99="x",1)+IF($M$90="x",1)-5-8
&amp;"/"&amp;SUM($C$3,$I$3)+IF(H655="x",1)+$I$16-$B$10+$M$94+IF($C$77="x",2)-IF($C$78="x",4)-IF($I$78="x",1)-IF($I$77="x",2)-IF($I$90="x",2)+IF($I$83="x",2)-IF($C$76="x",4)-$C$112+IF(H651="x",1)+I651+$M$77+IF(H653="x",1)+IF(J653="x",1)+IF($M$76="x",2)+J651+IF($M$85="x",1)+IF($M$113="x",1)+IF($M$120="x",2)+IF($M$119="x",2)+IF($M$105="x",1)+IF($M$110="x",1)+IF($M$111="x",2)+IF($M$112="x",4)+IF($M$108="x",1)-IF($M$109="x",1)-IF($M$99="x",1)+IF($M$90="x",1)-10-8,
$B$3&gt;=16,
SUM($C$3,$I$3)+IF(H655="x",1)+$I$16-$B$10+$M$94+IF($C$77="x",2)-IF($C$78="x",4)-IF($I$78="x",1)-IF($I$77="x",2)-IF($I$90="x",2)+IF($I$83="x",2)-IF($C$76="x",4)-$C$112+IF(H651="x",1)+I651+$M$77+IF(H653="x",1)+IF(J653="x",1)+IF($M$76="x",2)+J651+IF($M$85="x",1)+IF($M$113="x",1)+IF($M$120="x",2)+IF($M$119="x",2)+IF($M$105="x",1)+IF($M$110="x",1)+IF($M$111="x",2)+IF($M$112="x",4)+IF($M$108="x",1)-IF($M$109="x",1)-IF($M$99="x",1)+IF($M$90="x",1)-8
&amp;"/"&amp;SUM($C$3,$I$3)+IF(H655="x",1)+$I$16-$B$10+$M$94+IF($C$77="x",2)-IF($C$78="x",4)-IF($I$78="x",1)-IF($I$77="x",2)-IF($I$90="x",2)+IF($I$83="x",2)-IF($C$76="x",4)-$C$112+IF(H651="x",1)+I651+$M$77+IF(H653="x",1)+IF(J653="x",1)+IF($M$76="x",2)+J651+IF($M$85="x",1)+IF($M$113="x",1)+IF($M$120="x",2)+IF($M$119="x",2)+IF($M$105="x",1)+IF($M$110="x",1)+IF($M$111="x",2)+IF($M$112="x",4)+IF($M$108="x",1)-IF($M$109="x",1)-IF($M$99="x",1)+IF($M$90="x",1)-5-8
&amp;"/"&amp;SUM($C$3,$I$3)+IF(H655="x",1)+$I$16-$B$10+$M$94+IF($C$77="x",2)-IF($C$78="x",4)-IF($I$78="x",1)-IF($I$77="x",2)-IF($I$90="x",2)+IF($I$83="x",2)-IF($C$76="x",4)-$C$112+IF(H651="x",1)+I651+$M$77+IF(H653="x",1)+IF(J653="x",1)+IF($M$76="x",2)+J651+IF($M$85="x",1)+IF($M$113="x",1)+IF($M$120="x",2)+IF($M$119="x",2)+IF($M$105="x",1)+IF($M$110="x",1)+IF($M$111="x",2)+IF($M$112="x",4)+IF($M$108="x",1)-IF($M$109="x",1)-IF($M$99="x",1)+IF($M$90="x",1)-10-8
&amp;"/"&amp;SUM($C$3,$I$3)+IF(H655="x",1)+$I$16-$B$10+$M$94+IF($C$77="x",2)-IF($C$78="x",4)-IF($I$78="x",1)-IF($I$77="x",2)-IF($I$90="x",2)+IF($I$83="x",2)-IF($C$76="x",4)-$C$112+IF(H651="x",1)+I651+$M$77+IF(H653="x",1)+IF(J653="x",1)+IF($M$76="x",2)+J651+IF($M$85="x",1)+IF($M$113="x",1)+IF($M$120="x",2)+IF($M$119="x",2)+IF($M$105="x",1)+IF($M$110="x",1)+IF($M$111="x",2)+IF($M$112="x",4)+IF($M$108="x",1)-IF($M$109="x",1)-IF($M$99="x",1)+IF($M$90="x",1)-15-8)</f>
        <v>-8</v>
      </c>
      <c r="C655" s="82"/>
      <c r="D655" s="121"/>
      <c r="E655" s="82"/>
      <c r="F655" s="82"/>
      <c r="G655" s="82" t="str">
        <f>(IF($I$89="x","50 %","")&amp;(IF($C$81="x","20 %",""))&amp;(IF($C$82="x","50 %","")))</f>
        <v/>
      </c>
      <c r="H655" s="28"/>
      <c r="K655" s="82"/>
      <c r="AB655" s="59"/>
      <c r="AC655" s="51"/>
      <c r="AD655" s="49"/>
      <c r="AE655" s="51"/>
      <c r="AF655" s="49"/>
      <c r="AG655" s="49"/>
      <c r="AH655" s="49"/>
      <c r="AI655" s="40"/>
      <c r="AJ655" s="66"/>
      <c r="AK655" s="66"/>
      <c r="AL655" s="66"/>
    </row>
    <row r="656" spans="1:38" x14ac:dyDescent="0.2">
      <c r="B656" s="15"/>
      <c r="C656" s="15"/>
      <c r="D656" s="15"/>
      <c r="F656" s="15"/>
      <c r="G656" s="15"/>
      <c r="H656" s="15"/>
      <c r="I656" s="15"/>
      <c r="AB656" s="62"/>
      <c r="AC656" s="53"/>
      <c r="AD656" s="49"/>
      <c r="AE656" s="51"/>
      <c r="AF656" s="49"/>
      <c r="AG656" s="49"/>
      <c r="AH656" s="49"/>
      <c r="AI656" s="48"/>
      <c r="AJ656" s="48"/>
      <c r="AK656" s="48"/>
      <c r="AL656" s="48"/>
    </row>
    <row r="657" spans="1:38" x14ac:dyDescent="0.2">
      <c r="B657" s="15"/>
      <c r="C657" s="15"/>
      <c r="D657" s="15"/>
      <c r="F657" s="15"/>
      <c r="G657" s="15"/>
      <c r="H657" s="15"/>
      <c r="I657" s="15"/>
      <c r="AB657" s="59"/>
      <c r="AC657" s="51"/>
      <c r="AD657" s="49"/>
      <c r="AE657" s="51"/>
      <c r="AF657" s="49"/>
      <c r="AG657" s="49"/>
      <c r="AH657" s="49"/>
      <c r="AI657" s="40"/>
      <c r="AJ657" s="40"/>
      <c r="AK657" s="40"/>
      <c r="AL657" s="40"/>
    </row>
    <row r="658" spans="1:38" x14ac:dyDescent="0.2">
      <c r="A658" s="34" t="s">
        <v>266</v>
      </c>
      <c r="B658" s="11" t="s">
        <v>1</v>
      </c>
      <c r="C658" s="11" t="s">
        <v>2</v>
      </c>
      <c r="D658" s="11" t="s">
        <v>3</v>
      </c>
      <c r="E658" s="11" t="s">
        <v>229</v>
      </c>
      <c r="F658" s="11" t="s">
        <v>3</v>
      </c>
      <c r="G658" s="11" t="s">
        <v>45</v>
      </c>
      <c r="H658" s="14" t="s">
        <v>179</v>
      </c>
      <c r="I658" s="11" t="s">
        <v>242</v>
      </c>
      <c r="J658" s="11" t="s">
        <v>224</v>
      </c>
      <c r="K658" s="11" t="s">
        <v>225</v>
      </c>
      <c r="AB658" s="62"/>
      <c r="AC658" s="53"/>
      <c r="AD658" s="49"/>
      <c r="AE658" s="51"/>
      <c r="AF658" s="49"/>
      <c r="AG658" s="49"/>
      <c r="AH658" s="49"/>
      <c r="AI658" s="48"/>
      <c r="AJ658" s="48"/>
    </row>
    <row r="659" spans="1:38" x14ac:dyDescent="0.2">
      <c r="A659" s="126">
        <f>IF($C$98="x",30*1.5,30)</f>
        <v>30</v>
      </c>
      <c r="B659" s="121">
        <f>_xlfn.IFS($I$85="x",
"PAINISSA",
$C$106="",
SUM($C$3,$I$3)+IF(H663="x",1)+$I$16-$B$10+$M$94+IF($C$77="x",2)-IF($C$78="x",4)-IF($I$78="x",1)-IF($I$77="x",2)-IF($I$90="x",2)+IF($I$83="x",2)-IF($C$76="x",4)-$C$112+IF(H659="x",1)+I659+$M$77+IF(H661="x",1)+IF(J661="x",1)+IF($M$76="x",2)+J659+IF($M$85="x",1)+IF($M$113="x",1)+IF($M$120="x",2)+IF($M$119="x",2)+IF($M$105="x",1)+IF($M$110="x",1)+IF($M$111="x",2)+IF($M$112="x",4)+IF($M$108="x",1)-IF($M$109="x",1)-IF($M$99="x",1)+IF($M$90="x",1),
$B$3&lt;6,
SUM($C$3,$I$3)+IF(H663="x",1)+$I$16-$B$10+$M$94+IF($C$77="x",2)-IF($C$78="x",4)-IF($I$78="x",1)-IF($I$77="x",2)-IF($I$90="x",2)+IF($I$83="x",2)-IF($C$76="x",4)-$C$112+IF(H659="x",1)+I659+$M$77+IF(H661="x",1)+IF(J661="x",1)+IF($M$76="x",2)+J659+IF($M$85="x",1)+IF($M$113="x",1)+IF($M$120="x",2)+IF($M$119="x",2)+IF($M$105="x",1)+IF($M$110="x",1)+IF($M$111="x",2)+IF($M$112="x",4)+IF($M$108="x",1)-IF($M$109="x",1)-IF($M$99="x",1)+IF($M$90="x",1),
$B$3&lt;11,
SUM($C$3,$I$3)+IF(H663="x",1)+$I$16-$B$10+$M$94+IF($C$77="x",2)-IF($C$78="x",4)-IF($I$78="x",1)-IF($I$77="x",2)-IF($I$90="x",2)+IF($I$83="x",2)-IF($C$76="x",4)-$C$112+IF(H659="x",1)+I659+$M$77+IF(H661="x",1)+IF(J661="x",1)+IF($M$76="x",2)+J659+IF($M$85="x",1)+IF($M$113="x",1)+IF($M$120="x",2)+IF($M$119="x",2)+IF($M$105="x",1)+IF($M$110="x",1)+IF($M$111="x",2)+IF($M$112="x",4)+IF($M$108="x",1)-IF($M$109="x",1)-IF($M$99="x",1)+IF($M$90="x",1)
&amp;"/"&amp;SUM($C$3,$I$3)+IF(H663="x",1)+$I$16-$B$10+$M$94+IF($C$77="x",2)-IF($C$78="x",4)-IF($I$78="x",1)-IF($I$77="x",2)-IF($I$90="x",2)+IF($I$83="x",2)-IF($C$76="x",4)-$C$112+IF(H659="x",1)+I659+$M$77+IF(H661="x",1)+IF(J661="x",1)+IF($M$76="x",2)+J659+IF($M$85="x",1)+IF($M$113="x",1)+IF($M$120="x",2)+IF($M$119="x",2)+IF($M$105="x",1)+IF($M$110="x",1)+IF($M$111="x",2)+IF($M$112="x",4)+IF($M$108="x",1)-IF($M$109="x",1)-IF($M$99="x",1)+IF($M$90="x",1)-5,
$B$3&lt;16,
SUM($C$3,$I$3)+IF(H663="x",1)+$I$16-$B$10+$M$94+IF($C$77="x",2)-IF($C$78="x",4)-IF($I$78="x",1)-IF($I$77="x",2)-IF($I$90="x",2)+IF($I$83="x",2)-IF($C$76="x",4)-$C$112+IF(H659="x",1)+I659+$M$77+IF(H661="x",1)+IF(J661="x",1)+IF($M$76="x",2)+J659+IF($M$85="x",1)+IF($M$113="x",1)+IF($M$120="x",2)+IF($M$119="x",2)+IF($M$105="x",1)+IF($M$110="x",1)+IF($M$111="x",2)+IF($M$112="x",4)+IF($M$108="x",1)-IF($M$109="x",1)-IF($M$99="x",1)+IF($M$90="x",1)
&amp;"/"&amp;SUM($C$3,$I$3)+IF(H663="x",1)+$I$16-$B$10+$M$94+IF($C$77="x",2)-IF($C$78="x",4)-IF($I$78="x",1)-IF($I$77="x",2)-IF($I$90="x",2)+IF($I$83="x",2)-IF($C$76="x",4)-$C$112+IF(H659="x",1)+I659+$M$77+IF(H661="x",1)+IF(J661="x",1)+IF($M$76="x",2)+J659+IF($M$85="x",1)+IF($M$113="x",1)+IF($M$120="x",2)+IF($M$119="x",2)+IF($M$105="x",1)+IF($M$110="x",1)+IF($M$111="x",2)+IF($M$112="x",4)+IF($M$108="x",1)-IF($M$109="x",1)-IF($M$99="x",1)+IF($M$90="x",1)-5
&amp;"/"&amp;SUM($C$3,$I$3)+IF(H663="x",1)+$I$16-$B$10+$M$94+IF($C$77="x",2)-IF($C$78="x",4)-IF($I$78="x",1)-IF($I$77="x",2)-IF($I$90="x",2)+IF($I$83="x",2)-IF($C$76="x",4)-$C$112+IF(H659="x",1)+I659+$M$77+IF(H661="x",1)+IF(J661="x",1)+IF($M$76="x",2)+J659+IF($M$85="x",1)+IF($M$113="x",1)+IF($M$120="x",2)+IF($M$119="x",2)+IF($M$105="x",1)+IF($M$110="x",1)+IF($M$111="x",2)+IF($M$112="x",4)+IF($M$108="x",1)-IF($M$109="x",1)-IF($M$99="x",1)+IF($M$90="x",1)-10,
$B$3&gt;=16,
SUM($C$3,$I$3)+IF(H663="x",1)+$I$16-$B$10+$M$94+IF($C$77="x",2)-IF($C$78="x",4)-IF($I$78="x",1)-IF($I$77="x",2)-IF($I$90="x",2)+IF($I$83="x",2)-IF($C$76="x",4)-$C$112+IF(H659="x",1)+I659+$M$77+IF(H661="x",1)+IF(J661="x",1)+IF($M$76="x",2)+J659+IF($M$85="x",1)+IF($M$113="x",1)+IF($M$120="x",2)+IF($M$119="x",2)+IF($M$105="x",1)+IF($M$110="x",1)+IF($M$111="x",2)+IF($M$112="x",4)+IF($M$108="x",1)-IF($M$109="x",1)-IF($M$99="x",1)+IF($M$90="x",1)
&amp;"/"&amp;SUM($C$3,$I$3)+IF(H663="x",1)+$I$16-$B$10+$M$94+IF($C$77="x",2)-IF($C$78="x",4)-IF($I$78="x",1)-IF($I$77="x",2)-IF($I$90="x",2)+IF($I$83="x",2)-IF($C$76="x",4)-$C$112+IF(H659="x",1)+I659+$M$77+IF(H661="x",1)+IF(J661="x",1)+IF($M$76="x",2)+J659+IF($M$85="x",1)+IF($M$113="x",1)+IF($M$120="x",2)+IF($M$119="x",2)+IF($M$105="x",1)+IF($M$110="x",1)+IF($M$111="x",2)+IF($M$112="x",4)+IF($M$108="x",1)-IF($M$109="x",1)-IF($M$99="x",1)+IF($M$90="x",1)-5
&amp;"/"&amp;SUM($C$3,$I$3)+IF(H663="x",1)+$I$16-$B$10+$M$94+IF($C$77="x",2)-IF($C$78="x",4)-IF($I$78="x",1)-IF($I$77="x",2)-IF($I$90="x",2)+IF($I$83="x",2)-IF($C$76="x",4)-$C$112+IF(H659="x",1)+I659+$M$77+IF(H661="x",1)+IF(J661="x",1)+IF($M$76="x",2)+J659+IF($M$85="x",1)+IF($M$113="x",1)+IF($M$120="x",2)+IF($M$119="x",2)+IF($M$105="x",1)+IF($M$110="x",1)+IF($M$111="x",2)+IF($M$112="x",4)+IF($M$108="x",1)-IF($M$109="x",1)-IF($M$99="x",1)+IF($M$90="x",1)-10
&amp;"/"&amp;SUM($C$3,$I$3)+IF(H663="x",1)+$I$16-$B$10+$M$94+IF($C$77="x",2)-IF($C$78="x",4)-IF($I$78="x",1)-IF($I$77="x",2)-IF($I$90="x",2)+IF($I$83="x",2)-IF($C$76="x",4)-$C$112+IF(H659="x",1)+I659+$M$77+IF(H661="x",1)+IF(J661="x",1)+IF($M$76="x",2)+J659+IF($M$85="x",1)+IF($M$113="x",1)+IF($M$120="x",2)+IF($M$119="x",2)+IF($M$105="x",1)+IF($M$110="x",1)+IF($M$111="x",2)+IF($M$112="x",4)+IF($M$108="x",1)-IF($M$109="x",1)-IF($M$99="x",1)+IF($M$90="x",1)-15)</f>
        <v>0</v>
      </c>
      <c r="C659" s="49" t="str">
        <f>_xlfn.IFS($C$7="Minimaalinen","1",$C$7="Taskukokoinen","1n2",$C$7="Hyvin pieni","1n3",$C$7="Pieni","1n4",$C$7="Keskikokoinen","1n6",$C$7="Iso","1n8",$C$7="Valtava","2n6",$C$7="Suunnaton","3n6",$C$7="Giganttinen","4n6")</f>
        <v>1n6</v>
      </c>
      <c r="D659" s="51">
        <f>SUM($I$2+$C$120)+I659+$M$77+IF(I661="x",2)+IF(K661="x",2)+IF($M$119="x",2)+IF($M$108="x",1)+$M$94-IF($M$109="x",1)+K659+IF(H663="x",1)</f>
        <v>0</v>
      </c>
      <c r="E659" s="49" t="str">
        <f>_xlfn.IFS($C$7="Minimaalinen","2",$C$7="Taskukokoinen","2n2",$C$7="Hyvin pieni","2n3",$C$7="Pieni","2n4",$C$7="Keskikokoinen","2n6",$C$7="Iso","2n8",$C$7="Valtava","4n6",$C$7="Suunnaton","6n6",$C$7="Giganttinen","8n6")</f>
        <v>2n6</v>
      </c>
      <c r="F659" s="82">
        <f>SUM(D659*2)</f>
        <v>0</v>
      </c>
      <c r="G659" s="82" t="str">
        <f>(IF($I$89="x","50 %","")&amp;(IF($C$81="x","20 %",""))&amp;(IF($C$82="x","50 %","")))</f>
        <v/>
      </c>
      <c r="H659" s="28"/>
      <c r="I659" s="17">
        <v>0</v>
      </c>
      <c r="J659" s="17">
        <v>0</v>
      </c>
      <c r="K659" s="17">
        <v>0</v>
      </c>
      <c r="AB659" s="59"/>
      <c r="AC659" s="51"/>
      <c r="AD659" s="49"/>
      <c r="AE659" s="51"/>
      <c r="AF659" s="49"/>
      <c r="AG659" s="49"/>
      <c r="AH659" s="49"/>
      <c r="AI659" s="40"/>
      <c r="AJ659" s="40"/>
      <c r="AL659" s="50"/>
    </row>
    <row r="660" spans="1:38" x14ac:dyDescent="0.2">
      <c r="A660" s="127">
        <f>A659*2</f>
        <v>60</v>
      </c>
      <c r="B660" s="123">
        <f>_xlfn.IFS($I$85="x",
"PAINISSA",
$C$106="",
SUM($C$3,$I$3)+IF(H663="x",1)+$I$16-$B$10+$M$94+IF($C$77="x",2)-IF($C$78="x",4)-IF($I$78="x",1)-IF($I$77="x",2)-IF($I$90="x",2)+IF($I$83="x",2)-IF($C$76="x",4)-$C$112+IF(H659="x",1)+I659+$M$77+IF(H661="x",1)+IF(J661="x",1)+IF($M$76="x",2)+J659+IF($M$85="x",1)+IF($M$113="x",1)+IF($M$120="x",2)+IF($M$119="x",2)+IF($M$105="x",1)+IF($M$110="x",1)+IF($M$111="x",2)+IF($M$112="x",4)+IF($M$108="x",1)-IF($M$109="x",1)-IF($M$99="x",1)+IF($M$90="x",1)-2,
$B$3&lt;6,
SUM($C$3,$I$3)+IF(H663="x",1)+$I$16-$B$10+$M$94+IF($C$77="x",2)-IF($C$78="x",4)-IF($I$78="x",1)-IF($I$77="x",2)-IF($I$90="x",2)+IF($I$83="x",2)-IF($C$76="x",4)-$C$112+IF(H659="x",1)+I659+$M$77+IF(H661="x",1)+IF(J661="x",1)+IF($M$76="x",2)+J659+IF($M$85="x",1)+IF($M$113="x",1)+IF($M$120="x",2)+IF($M$119="x",2)+IF($M$105="x",1)+IF($M$110="x",1)+IF($M$111="x",2)+IF($M$112="x",4)+IF($M$108="x",1)-IF($M$109="x",1)-IF($M$99="x",1)+IF($M$90="x",1)-2,
$B$3&lt;11,
SUM($C$3,$I$3)+IF(H663="x",1)+$I$16-$B$10+$M$94+IF($C$77="x",2)-IF($C$78="x",4)-IF($I$78="x",1)-IF($I$77="x",2)-IF($I$90="x",2)+IF($I$83="x",2)-IF($C$76="x",4)-$C$112+IF(H659="x",1)+I659+$M$77+IF(H661="x",1)+IF(J661="x",1)+IF($M$76="x",2)+J659+IF($M$85="x",1)+IF($M$113="x",1)+IF($M$120="x",2)+IF($M$119="x",2)+IF($M$105="x",1)+IF($M$110="x",1)+IF($M$111="x",2)+IF($M$112="x",4)+IF($M$108="x",1)-IF($M$109="x",1)-IF($M$99="x",1)+IF($M$90="x",1)-2
&amp;"/"&amp;SUM($C$3,$I$3)+IF(H663="x",1)+$I$16-$B$10+$M$94+IF($C$77="x",2)-IF($C$78="x",4)-IF($I$78="x",1)-IF($I$77="x",2)-IF($I$90="x",2)+IF($I$83="x",2)-IF($C$76="x",4)-$C$112+IF(H659="x",1)+I659+$M$77+IF(H661="x",1)+IF(J661="x",1)+IF($M$76="x",2)+J659+IF($M$85="x",1)+IF($M$113="x",1)+IF($M$120="x",2)+IF($M$119="x",2)+IF($M$105="x",1)+IF($M$110="x",1)+IF($M$111="x",2)+IF($M$112="x",4)+IF($M$108="x",1)-IF($M$109="x",1)-IF($M$99="x",1)+IF($M$90="x",1)-5-2,
$B$3&lt;16,
SUM($C$3,$I$3)+IF(H663="x",1)+$I$16-$B$10+$M$94+IF($C$77="x",2)-IF($C$78="x",4)-IF($I$78="x",1)-IF($I$77="x",2)-IF($I$90="x",2)+IF($I$83="x",2)-IF($C$76="x",4)-$C$112+IF(H659="x",1)+I659+$M$77+IF(H661="x",1)+IF(J661="x",1)+IF($M$76="x",2)+J659+IF($M$85="x",1)+IF($M$113="x",1)+IF($M$120="x",2)+IF($M$119="x",2)+IF($M$105="x",1)+IF($M$110="x",1)+IF($M$111="x",2)+IF($M$112="x",4)+IF($M$108="x",1)-IF($M$109="x",1)-IF($M$99="x",1)+IF($M$90="x",1)-2
&amp;"/"&amp;SUM($C$3,$I$3)+IF(H663="x",1)+$I$16-$B$10+$M$94+IF($C$77="x",2)-IF($C$78="x",4)-IF($I$78="x",1)-IF($I$77="x",2)-IF($I$90="x",2)+IF($I$83="x",2)-IF($C$76="x",4)-$C$112+IF(H659="x",1)+I659+$M$77+IF(H661="x",1)+IF(J661="x",1)+IF($M$76="x",2)+J659+IF($M$85="x",1)+IF($M$113="x",1)+IF($M$120="x",2)+IF($M$119="x",2)+IF($M$105="x",1)+IF($M$110="x",1)+IF($M$111="x",2)+IF($M$112="x",4)+IF($M$108="x",1)-IF($M$109="x",1)-IF($M$99="x",1)+IF($M$90="x",1)-5-2
&amp;"/"&amp;SUM($C$3,$I$3)+IF(H663="x",1)+$I$16-$B$10+$M$94+IF($C$77="x",2)-IF($C$78="x",4)-IF($I$78="x",1)-IF($I$77="x",2)-IF($I$90="x",2)+IF($I$83="x",2)-IF($C$76="x",4)-$C$112+IF(H659="x",1)+I659+$M$77+IF(H661="x",1)+IF(J661="x",1)+IF($M$76="x",2)+J659+IF($M$85="x",1)+IF($M$113="x",1)+IF($M$120="x",2)+IF($M$119="x",2)+IF($M$105="x",1)+IF($M$110="x",1)+IF($M$111="x",2)+IF($M$112="x",4)+IF($M$108="x",1)-IF($M$109="x",1)-IF($M$99="x",1)+IF($M$90="x",1)-10-2,
$B$3&gt;=16,
SUM($C$3,$I$3)+IF(H663="x",1)+$I$16-$B$10+$M$94+IF($C$77="x",2)-IF($C$78="x",4)-IF($I$78="x",1)-IF($I$77="x",2)-IF($I$90="x",2)+IF($I$83="x",2)-IF($C$76="x",4)-$C$112+IF(H659="x",1)+I659+$M$77+IF(H661="x",1)+IF(J661="x",1)+IF($M$76="x",2)+J659+IF($M$85="x",1)+IF($M$113="x",1)+IF($M$120="x",2)+IF($M$119="x",2)+IF($M$105="x",1)+IF($M$110="x",1)+IF($M$111="x",2)+IF($M$112="x",4)+IF($M$108="x",1)-IF($M$109="x",1)-IF($M$99="x",1)+IF($M$90="x",1)-2
&amp;"/"&amp;SUM($C$3,$I$3)+IF(H663="x",1)+$I$16-$B$10+$M$94+IF($C$77="x",2)-IF($C$78="x",4)-IF($I$78="x",1)-IF($I$77="x",2)-IF($I$90="x",2)+IF($I$83="x",2)-IF($C$76="x",4)-$C$112+IF(H659="x",1)+I659+$M$77+IF(H661="x",1)+IF(J661="x",1)+IF($M$76="x",2)+J659+IF($M$85="x",1)+IF($M$113="x",1)+IF($M$120="x",2)+IF($M$119="x",2)+IF($M$105="x",1)+IF($M$110="x",1)+IF($M$111="x",2)+IF($M$112="x",4)+IF($M$108="x",1)-IF($M$109="x",1)-IF($M$99="x",1)+IF($M$90="x",1)-5-2
&amp;"/"&amp;SUM($C$3,$I$3)+IF(H663="x",1)+$I$16-$B$10+$M$94+IF($C$77="x",2)-IF($C$78="x",4)-IF($I$78="x",1)-IF($I$77="x",2)-IF($I$90="x",2)+IF($I$83="x",2)-IF($C$76="x",4)-$C$112+IF(H659="x",1)+I659+$M$77+IF(H661="x",1)+IF(J661="x",1)+IF($M$76="x",2)+J659+IF($M$85="x",1)+IF($M$113="x",1)+IF($M$120="x",2)+IF($M$119="x",2)+IF($M$105="x",1)+IF($M$110="x",1)+IF($M$111="x",2)+IF($M$112="x",4)+IF($M$108="x",1)-IF($M$109="x",1)-IF($M$99="x",1)+IF($M$90="x",1)-10-2
&amp;"/"&amp;SUM($C$3,$I$3)+IF(H663="x",1)+$I$16-$B$10+$M$94+IF($C$77="x",2)-IF($C$78="x",4)-IF($I$78="x",1)-IF($I$77="x",2)-IF($I$90="x",2)+IF($I$83="x",2)-IF($C$76="x",4)-$C$112+IF(H659="x",1)+I659+$M$77+IF(H661="x",1)+IF(J661="x",1)+IF($M$76="x",2)+J659+IF($M$85="x",1)+IF($M$113="x",1)+IF($M$120="x",2)+IF($M$119="x",2)+IF($M$105="x",1)+IF($M$110="x",1)+IF($M$111="x",2)+IF($M$112="x",4)+IF($M$108="x",1)-IF($M$109="x",1)-IF($M$99="x",1)+IF($M$90="x",1)-15-2)</f>
        <v>-2</v>
      </c>
      <c r="C660" s="82"/>
      <c r="D660" s="121"/>
      <c r="E660" s="82"/>
      <c r="F660" s="82"/>
      <c r="G660" s="123" t="str">
        <f>(IF($I$89="x","50 %","")&amp;(IF($C$81="x","20 %",""))&amp;(IF($C$82="x","50 %","")))</f>
        <v/>
      </c>
      <c r="H660" s="14" t="s">
        <v>220</v>
      </c>
      <c r="I660" s="14" t="s">
        <v>221</v>
      </c>
      <c r="J660" s="14" t="s">
        <v>222</v>
      </c>
      <c r="K660" s="14" t="s">
        <v>223</v>
      </c>
      <c r="AB660" s="62"/>
      <c r="AC660" s="53"/>
      <c r="AD660" s="49"/>
      <c r="AE660" s="51"/>
      <c r="AF660" s="49"/>
      <c r="AG660" s="49"/>
      <c r="AH660" s="49"/>
      <c r="AI660" s="49"/>
      <c r="AJ660" s="50"/>
      <c r="AK660" s="65"/>
      <c r="AL660" s="65"/>
    </row>
    <row r="661" spans="1:38" x14ac:dyDescent="0.2">
      <c r="A661" s="126">
        <f>A659*3</f>
        <v>90</v>
      </c>
      <c r="B661" s="121">
        <f>_xlfn.IFS($I$85="x",
"PAINISSA",
$C$106="",
SUM($C$3,$I$3)+IF(H663="x",1)+$I$16-$B$10+$M$94+IF($C$77="x",2)-IF($C$78="x",4)-IF($I$78="x",1)-IF($I$77="x",2)-IF($I$90="x",2)+IF($I$83="x",2)-IF($C$76="x",4)-$C$112+IF(H659="x",1)+I659+$M$77+IF(H661="x",1)+IF(J661="x",1)+IF($M$76="x",2)+J659+IF($M$85="x",1)+IF($M$113="x",1)+IF($M$120="x",2)+IF($M$119="x",2)+IF($M$105="x",1)+IF($M$110="x",1)+IF($M$111="x",2)+IF($M$112="x",4)+IF($M$108="x",1)-IF($M$109="x",1)-IF($M$99="x",1)+IF($M$90="x",1)-4,
$B$3&lt;6,
SUM($C$3,$I$3)+IF(H663="x",1)+$I$16-$B$10+$M$94+IF($C$77="x",2)-IF($C$78="x",4)-IF($I$78="x",1)-IF($I$77="x",2)-IF($I$90="x",2)+IF($I$83="x",2)-IF($C$76="x",4)-$C$112+IF(H659="x",1)+I659+$M$77+IF(H661="x",1)+IF(J661="x",1)+IF($M$76="x",2)+J659+IF($M$85="x",1)+IF($M$113="x",1)+IF($M$120="x",2)+IF($M$119="x",2)+IF($M$105="x",1)+IF($M$110="x",1)+IF($M$111="x",2)+IF($M$112="x",4)+IF($M$108="x",1)-IF($M$109="x",1)-IF($M$99="x",1)+IF($M$90="x",1)-4,
$B$3&lt;11,
SUM($C$3,$I$3)+IF(H663="x",1)+$I$16-$B$10+$M$94+IF($C$77="x",2)-IF($C$78="x",4)-IF($I$78="x",1)-IF($I$77="x",2)-IF($I$90="x",2)+IF($I$83="x",2)-IF($C$76="x",4)-$C$112+IF(H659="x",1)+I659+$M$77+IF(H661="x",1)+IF(J661="x",1)+IF($M$76="x",2)+J659+IF($M$85="x",1)+IF($M$113="x",1)+IF($M$120="x",2)+IF($M$119="x",2)+IF($M$105="x",1)+IF($M$110="x",1)+IF($M$111="x",2)+IF($M$112="x",4)+IF($M$108="x",1)-IF($M$109="x",1)-IF($M$99="x",1)+IF($M$90="x",1)-4
&amp;"/"&amp;SUM($C$3,$I$3)+IF(H663="x",1)+$I$16-$B$10+$M$94+IF($C$77="x",2)-IF($C$78="x",4)-IF($I$78="x",1)-IF($I$77="x",2)-IF($I$90="x",2)+IF($I$83="x",2)-IF($C$76="x",4)-$C$112+IF(H659="x",1)+I659+$M$77+IF(H661="x",1)+IF(J661="x",1)+IF($M$76="x",2)+J659+IF($M$85="x",1)+IF($M$113="x",1)+IF($M$120="x",2)+IF($M$119="x",2)+IF($M$105="x",1)+IF($M$110="x",1)+IF($M$111="x",2)+IF($M$112="x",4)+IF($M$108="x",1)-IF($M$109="x",1)-IF($M$99="x",1)+IF($M$90="x",1)-5-4,
$B$3&lt;16,
SUM($C$3,$I$3)+IF(H663="x",1)+$I$16-$B$10+$M$94+IF($C$77="x",2)-IF($C$78="x",4)-IF($I$78="x",1)-IF($I$77="x",2)-IF($I$90="x",2)+IF($I$83="x",2)-IF($C$76="x",4)-$C$112+IF(H659="x",1)+I659+$M$77+IF(H661="x",1)+IF(J661="x",1)+IF($M$76="x",2)+J659+IF($M$85="x",1)+IF($M$113="x",1)+IF($M$120="x",2)+IF($M$119="x",2)+IF($M$105="x",1)+IF($M$110="x",1)+IF($M$111="x",2)+IF($M$112="x",4)+IF($M$108="x",1)-IF($M$109="x",1)-IF($M$99="x",1)+IF($M$90="x",1)-4
&amp;"/"&amp;SUM($C$3,$I$3)+IF(H663="x",1)+$I$16-$B$10+$M$94+IF($C$77="x",2)-IF($C$78="x",4)-IF($I$78="x",1)-IF($I$77="x",2)-IF($I$90="x",2)+IF($I$83="x",2)-IF($C$76="x",4)-$C$112+IF(H659="x",1)+I659+$M$77+IF(H661="x",1)+IF(J661="x",1)+IF($M$76="x",2)+J659+IF($M$85="x",1)+IF($M$113="x",1)+IF($M$120="x",2)+IF($M$119="x",2)+IF($M$105="x",1)+IF($M$110="x",1)+IF($M$111="x",2)+IF($M$112="x",4)+IF($M$108="x",1)-IF($M$109="x",1)-IF($M$99="x",1)+IF($M$90="x",1)-5-4
&amp;"/"&amp;SUM($C$3,$I$3)+IF(H663="x",1)+$I$16-$B$10+$M$94+IF($C$77="x",2)-IF($C$78="x",4)-IF($I$78="x",1)-IF($I$77="x",2)-IF($I$90="x",2)+IF($I$83="x",2)-IF($C$76="x",4)-$C$112+IF(H659="x",1)+I659+$M$77+IF(H661="x",1)+IF(J661="x",1)+IF($M$76="x",2)+J659+IF($M$85="x",1)+IF($M$113="x",1)+IF($M$120="x",2)+IF($M$119="x",2)+IF($M$105="x",1)+IF($M$110="x",1)+IF($M$111="x",2)+IF($M$112="x",4)+IF($M$108="x",1)-IF($M$109="x",1)-IF($M$99="x",1)+IF($M$90="x",1)-10-4,
$B$3&gt;=16,
SUM($C$3,$I$3)+IF(H663="x",1)+$I$16-$B$10+$M$94+IF($C$77="x",2)-IF($C$78="x",4)-IF($I$78="x",1)-IF($I$77="x",2)-IF($I$90="x",2)+IF($I$83="x",2)-IF($C$76="x",4)-$C$112+IF(H659="x",1)+I659+$M$77+IF(H661="x",1)+IF(J661="x",1)+IF($M$76="x",2)+J659+IF($M$85="x",1)+IF($M$113="x",1)+IF($M$120="x",2)+IF($M$119="x",2)+IF($M$105="x",1)+IF($M$110="x",1)+IF($M$111="x",2)+IF($M$112="x",4)+IF($M$108="x",1)-IF($M$109="x",1)-IF($M$99="x",1)+IF($M$90="x",1)-4
&amp;"/"&amp;SUM($C$3,$I$3)+IF(H663="x",1)+$I$16-$B$10+$M$94+IF($C$77="x",2)-IF($C$78="x",4)-IF($I$78="x",1)-IF($I$77="x",2)-IF($I$90="x",2)+IF($I$83="x",2)-IF($C$76="x",4)-$C$112+IF(H659="x",1)+I659+$M$77+IF(H661="x",1)+IF(J661="x",1)+IF($M$76="x",2)+J659+IF($M$85="x",1)+IF($M$113="x",1)+IF($M$120="x",2)+IF($M$119="x",2)+IF($M$105="x",1)+IF($M$110="x",1)+IF($M$111="x",2)+IF($M$112="x",4)+IF($M$108="x",1)-IF($M$109="x",1)-IF($M$99="x",1)+IF($M$90="x",1)-5-4
&amp;"/"&amp;SUM($C$3,$I$3)+IF(H663="x",1)+$I$16-$B$10+$M$94+IF($C$77="x",2)-IF($C$78="x",4)-IF($I$78="x",1)-IF($I$77="x",2)-IF($I$90="x",2)+IF($I$83="x",2)-IF($C$76="x",4)-$C$112+IF(H659="x",1)+I659+$M$77+IF(H661="x",1)+IF(J661="x",1)+IF($M$76="x",2)+J659+IF($M$85="x",1)+IF($M$113="x",1)+IF($M$120="x",2)+IF($M$119="x",2)+IF($M$105="x",1)+IF($M$110="x",1)+IF($M$111="x",2)+IF($M$112="x",4)+IF($M$108="x",1)-IF($M$109="x",1)-IF($M$99="x",1)+IF($M$90="x",1)-10-4
&amp;"/"&amp;SUM($C$3,$I$3)+IF(H663="x",1)+$I$16-$B$10+$M$94+IF($C$77="x",2)-IF($C$78="x",4)-IF($I$78="x",1)-IF($I$77="x",2)-IF($I$90="x",2)+IF($I$83="x",2)-IF($C$76="x",4)-$C$112+IF(H659="x",1)+I659+$M$77+IF(H661="x",1)+IF(J661="x",1)+IF($M$76="x",2)+J659+IF($M$85="x",1)+IF($M$113="x",1)+IF($M$120="x",2)+IF($M$119="x",2)+IF($M$105="x",1)+IF($M$110="x",1)+IF($M$111="x",2)+IF($M$112="x",4)+IF($M$108="x",1)-IF($M$109="x",1)-IF($M$99="x",1)+IF($M$90="x",1)-15-4)</f>
        <v>-4</v>
      </c>
      <c r="C661" s="82"/>
      <c r="D661" s="121"/>
      <c r="E661" s="82"/>
      <c r="F661" s="82"/>
      <c r="G661" s="82" t="str">
        <f>(IF($I$89="x","50 %","")&amp;(IF($C$81="x","20 %",""))&amp;(IF($C$82="x","50 %","")))</f>
        <v/>
      </c>
      <c r="H661" s="28"/>
      <c r="I661" s="28"/>
      <c r="J661" s="28"/>
      <c r="K661" s="28"/>
      <c r="AB661" s="59"/>
      <c r="AC661" s="51"/>
      <c r="AD661" s="49"/>
      <c r="AE661" s="51"/>
      <c r="AF661" s="49"/>
      <c r="AG661" s="49"/>
      <c r="AH661" s="49"/>
      <c r="AI661" s="49"/>
      <c r="AJ661" s="40"/>
      <c r="AK661" s="65"/>
      <c r="AL661" s="65"/>
    </row>
    <row r="662" spans="1:38" x14ac:dyDescent="0.2">
      <c r="A662" s="127">
        <f>A659*4</f>
        <v>120</v>
      </c>
      <c r="B662" s="123">
        <f>_xlfn.IFS($I$85="x",
"PAINISSA",
$C$106="",
SUM($C$3,$I$3)+IF(H663="x",1)+$I$16-$B$10+$M$94+IF($C$77="x",2)-IF($C$78="x",4)-IF($I$78="x",1)-IF($I$77="x",2)-IF($I$90="x",2)+IF($I$83="x",2)-IF($C$76="x",4)-$C$112+IF(H659="x",1)+I659+$M$77+IF(H661="x",1)+IF(J661="x",1)+IF($M$76="x",2)+J659+IF($M$85="x",1)+IF($M$113="x",1)+IF($M$120="x",2)+IF($M$119="x",2)+IF($M$105="x",1)+IF($M$110="x",1)+IF($M$111="x",2)+IF($M$112="x",4)+IF($M$108="x",1)-IF($M$109="x",1)-IF($M$99="x",1)+IF($M$90="x",1)-6,
$B$3&lt;6,
SUM($C$3,$I$3)+IF(H663="x",1)+$I$16-$B$10+$M$94+IF($C$77="x",2)-IF($C$78="x",4)-IF($I$78="x",1)-IF($I$77="x",2)-IF($I$90="x",2)+IF($I$83="x",2)-IF($C$76="x",4)-$C$112+IF(H659="x",1)+I659+$M$77+IF(H661="x",1)+IF(J661="x",1)+IF($M$76="x",2)+J659+IF($M$85="x",1)+IF($M$113="x",1)+IF($M$120="x",2)+IF($M$119="x",2)+IF($M$105="x",1)+IF($M$110="x",1)+IF($M$111="x",2)+IF($M$112="x",4)+IF($M$108="x",1)-IF($M$109="x",1)-IF($M$99="x",1)+IF($M$90="x",1)-6,
$B$3&lt;11,
SUM($C$3,$I$3)+IF(H663="x",1)+$I$16-$B$10+$M$94+IF($C$77="x",2)-IF($C$78="x",4)-IF($I$78="x",1)-IF($I$77="x",2)-IF($I$90="x",2)+IF($I$83="x",2)-IF($C$76="x",4)-$C$112+IF(H659="x",1)+I659+$M$77+IF(H661="x",1)+IF(J661="x",1)+IF($M$76="x",2)+J659+IF($M$85="x",1)+IF($M$113="x",1)+IF($M$120="x",2)+IF($M$119="x",2)+IF($M$105="x",1)+IF($M$110="x",1)+IF($M$111="x",2)+IF($M$112="x",4)+IF($M$108="x",1)-IF($M$109="x",1)-IF($M$99="x",1)+IF($M$90="x",1)-6
&amp;"/"&amp;SUM($C$3,$I$3)+IF(H663="x",1)+$I$16-$B$10+$M$94+IF($C$77="x",2)-IF($C$78="x",4)-IF($I$78="x",1)-IF($I$77="x",2)-IF($I$90="x",2)+IF($I$83="x",2)-IF($C$76="x",4)-$C$112+IF(H659="x",1)+I659+$M$77+IF(H661="x",1)+IF(J661="x",1)+IF($M$76="x",2)+J659+IF($M$85="x",1)+IF($M$113="x",1)+IF($M$120="x",2)+IF($M$119="x",2)+IF($M$105="x",1)+IF($M$110="x",1)+IF($M$111="x",2)+IF($M$112="x",4)+IF($M$108="x",1)-IF($M$109="x",1)-IF($M$99="x",1)+IF($M$90="x",1)-5-6,
$B$3&lt;16,
SUM($C$3,$I$3)+IF(H663="x",1)+$I$16-$B$10+$M$94+IF($C$77="x",2)-IF($C$78="x",4)-IF($I$78="x",1)-IF($I$77="x",2)-IF($I$90="x",2)+IF($I$83="x",2)-IF($C$76="x",4)-$C$112+IF(H659="x",1)+I659+$M$77+IF(H661="x",1)+IF(J661="x",1)+IF($M$76="x",2)+J659+IF($M$85="x",1)+IF($M$113="x",1)+IF($M$120="x",2)+IF($M$119="x",2)+IF($M$105="x",1)+IF($M$110="x",1)+IF($M$111="x",2)+IF($M$112="x",4)+IF($M$108="x",1)-IF($M$109="x",1)-IF($M$99="x",1)+IF($M$90="x",1)-6
&amp;"/"&amp;SUM($C$3,$I$3)+IF(H663="x",1)+$I$16-$B$10+$M$94+IF($C$77="x",2)-IF($C$78="x",4)-IF($I$78="x",1)-IF($I$77="x",2)-IF($I$90="x",2)+IF($I$83="x",2)-IF($C$76="x",4)-$C$112+IF(H659="x",1)+I659+$M$77+IF(H661="x",1)+IF(J661="x",1)+IF($M$76="x",2)+J659+IF($M$85="x",1)+IF($M$113="x",1)+IF($M$120="x",2)+IF($M$119="x",2)+IF($M$105="x",1)+IF($M$110="x",1)+IF($M$111="x",2)+IF($M$112="x",4)+IF($M$108="x",1)-IF($M$109="x",1)-IF($M$99="x",1)+IF($M$90="x",1)-5-6
&amp;"/"&amp;SUM($C$3,$I$3)+IF(H663="x",1)+$I$16-$B$10+$M$94+IF($C$77="x",2)-IF($C$78="x",4)-IF($I$78="x",1)-IF($I$77="x",2)-IF($I$90="x",2)+IF($I$83="x",2)-IF($C$76="x",4)-$C$112+IF(H659="x",1)+I659+$M$77+IF(H661="x",1)+IF(J661="x",1)+IF($M$76="x",2)+J659+IF($M$85="x",1)+IF($M$113="x",1)+IF($M$120="x",2)+IF($M$119="x",2)+IF($M$105="x",1)+IF($M$110="x",1)+IF($M$111="x",2)+IF($M$112="x",4)+IF($M$108="x",1)-IF($M$109="x",1)-IF($M$99="x",1)+IF($M$90="x",1)-10-6,
$B$3&gt;=16,
SUM($C$3,$I$3)+IF(H663="x",1)+$I$16-$B$10+$M$94+IF($C$77="x",2)-IF($C$78="x",4)-IF($I$78="x",1)-IF($I$77="x",2)-IF($I$90="x",2)+IF($I$83="x",2)-IF($C$76="x",4)-$C$112+IF(H659="x",1)+I659+$M$77+IF(H661="x",1)+IF(J661="x",1)+IF($M$76="x",2)+J659+IF($M$85="x",1)+IF($M$113="x",1)+IF($M$120="x",2)+IF($M$119="x",2)+IF($M$105="x",1)+IF($M$110="x",1)+IF($M$111="x",2)+IF($M$112="x",4)+IF($M$108="x",1)-IF($M$109="x",1)-IF($M$99="x",1)+IF($M$90="x",1)-6
&amp;"/"&amp;SUM($C$3,$I$3)+IF(H663="x",1)+$I$16-$B$10+$M$94+IF($C$77="x",2)-IF($C$78="x",4)-IF($I$78="x",1)-IF($I$77="x",2)-IF($I$90="x",2)+IF($I$83="x",2)-IF($C$76="x",4)-$C$112+IF(H659="x",1)+I659+$M$77+IF(H661="x",1)+IF(J661="x",1)+IF($M$76="x",2)+J659+IF($M$85="x",1)+IF($M$113="x",1)+IF($M$120="x",2)+IF($M$119="x",2)+IF($M$105="x",1)+IF($M$110="x",1)+IF($M$111="x",2)+IF($M$112="x",4)+IF($M$108="x",1)-IF($M$109="x",1)-IF($M$99="x",1)+IF($M$90="x",1)-5-6
&amp;"/"&amp;SUM($C$3,$I$3)+IF(H663="x",1)+$I$16-$B$10+$M$94+IF($C$77="x",2)-IF($C$78="x",4)-IF($I$78="x",1)-IF($I$77="x",2)-IF($I$90="x",2)+IF($I$83="x",2)-IF($C$76="x",4)-$C$112+IF(H659="x",1)+I659+$M$77+IF(H661="x",1)+IF(J661="x",1)+IF($M$76="x",2)+J659+IF($M$85="x",1)+IF($M$113="x",1)+IF($M$120="x",2)+IF($M$119="x",2)+IF($M$105="x",1)+IF($M$110="x",1)+IF($M$111="x",2)+IF($M$112="x",4)+IF($M$108="x",1)-IF($M$109="x",1)-IF($M$99="x",1)+IF($M$90="x",1)-10-6
&amp;"/"&amp;SUM($C$3,$I$3)+IF(H663="x",1)+$I$16-$B$10+$M$94+IF($C$77="x",2)-IF($C$78="x",4)-IF($I$78="x",1)-IF($I$77="x",2)-IF($I$90="x",2)+IF($I$83="x",2)-IF($C$76="x",4)-$C$112+IF(H659="x",1)+I659+$M$77+IF(H661="x",1)+IF(J661="x",1)+IF($M$76="x",2)+J659+IF($M$85="x",1)+IF($M$113="x",1)+IF($M$120="x",2)+IF($M$119="x",2)+IF($M$105="x",1)+IF($M$110="x",1)+IF($M$111="x",2)+IF($M$112="x",4)+IF($M$108="x",1)-IF($M$109="x",1)-IF($M$99="x",1)+IF($M$90="x",1)-15-6)</f>
        <v>-6</v>
      </c>
      <c r="C662" s="82"/>
      <c r="D662" s="121"/>
      <c r="E662" s="82"/>
      <c r="F662" s="82"/>
      <c r="G662" s="123" t="str">
        <f>(IF($I$89="x","50 %","")&amp;(IF($C$81="x","20 %",""))&amp;(IF($C$82="x","50 %","")))</f>
        <v/>
      </c>
      <c r="H662" s="14" t="s">
        <v>182</v>
      </c>
      <c r="I662" s="15"/>
      <c r="AB662" s="62"/>
      <c r="AC662" s="53"/>
      <c r="AD662" s="49"/>
      <c r="AE662" s="51"/>
      <c r="AF662" s="49"/>
      <c r="AG662" s="49"/>
      <c r="AH662" s="49"/>
      <c r="AI662" s="49"/>
      <c r="AJ662" s="49"/>
      <c r="AK662" s="65"/>
      <c r="AL662" s="65"/>
    </row>
    <row r="663" spans="1:38" x14ac:dyDescent="0.2">
      <c r="A663" s="126">
        <f>A659*5</f>
        <v>150</v>
      </c>
      <c r="B663" s="121">
        <f>_xlfn.IFS($I$85="x",
"PAINISSA",
$C$106="",
SUM($C$3,$I$3)+IF(H663="x",1)+$I$16-$B$10+$M$94+IF($C$77="x",2)-IF($C$78="x",4)-IF($I$78="x",1)-IF($I$77="x",2)-IF($I$90="x",2)+IF($I$83="x",2)-IF($C$76="x",4)-$C$112+IF(H659="x",1)+I659+$M$77+IF(H661="x",1)+IF(J661="x",1)+IF($M$76="x",2)+J659+IF($M$85="x",1)+IF($M$113="x",1)+IF($M$120="x",2)+IF($M$119="x",2)+IF($M$105="x",1)+IF($M$110="x",1)+IF($M$111="x",2)+IF($M$112="x",4)+IF($M$108="x",1)-IF($M$109="x",1)-IF($M$99="x",1)+IF($M$90="x",1)-8,
$B$3&lt;6,
SUM($C$3,$I$3)+IF(H663="x",1)+$I$16-$B$10+$M$94+IF($C$77="x",2)-IF($C$78="x",4)-IF($I$78="x",1)-IF($I$77="x",2)-IF($I$90="x",2)+IF($I$83="x",2)-IF($C$76="x",4)-$C$112+IF(H659="x",1)+I659+$M$77+IF(H661="x",1)+IF(J661="x",1)+IF($M$76="x",2)+J659+IF($M$85="x",1)+IF($M$113="x",1)+IF($M$120="x",2)+IF($M$119="x",2)+IF($M$105="x",1)+IF($M$110="x",1)+IF($M$111="x",2)+IF($M$112="x",4)+IF($M$108="x",1)-IF($M$109="x",1)-IF($M$99="x",1)+IF($M$90="x",1)-8,
$B$3&lt;11,
SUM($C$3,$I$3)+IF(H663="x",1)+$I$16-$B$10+$M$94+IF($C$77="x",2)-IF($C$78="x",4)-IF($I$78="x",1)-IF($I$77="x",2)-IF($I$90="x",2)+IF($I$83="x",2)-IF($C$76="x",4)-$C$112+IF(H659="x",1)+I659+$M$77+IF(H661="x",1)+IF(J661="x",1)+IF($M$76="x",2)+J659+IF($M$85="x",1)+IF($M$113="x",1)+IF($M$120="x",2)+IF($M$119="x",2)+IF($M$105="x",1)+IF($M$110="x",1)+IF($M$111="x",2)+IF($M$112="x",4)+IF($M$108="x",1)-IF($M$109="x",1)-IF($M$99="x",1)+IF($M$90="x",1)-8
&amp;"/"&amp;SUM($C$3,$I$3)+IF(H663="x",1)+$I$16-$B$10+$M$94+IF($C$77="x",2)-IF($C$78="x",4)-IF($I$78="x",1)-IF($I$77="x",2)-IF($I$90="x",2)+IF($I$83="x",2)-IF($C$76="x",4)-$C$112+IF(H659="x",1)+I659+$M$77+IF(H661="x",1)+IF(J661="x",1)+IF($M$76="x",2)+J659+IF($M$85="x",1)+IF($M$113="x",1)+IF($M$120="x",2)+IF($M$119="x",2)+IF($M$105="x",1)+IF($M$110="x",1)+IF($M$111="x",2)+IF($M$112="x",4)+IF($M$108="x",1)-IF($M$109="x",1)-IF($M$99="x",1)+IF($M$90="x",1)-5-8,
$B$3&lt;16,
SUM($C$3,$I$3)+IF(H663="x",1)+$I$16-$B$10+$M$94+IF($C$77="x",2)-IF($C$78="x",4)-IF($I$78="x",1)-IF($I$77="x",2)-IF($I$90="x",2)+IF($I$83="x",2)-IF($C$76="x",4)-$C$112+IF(H659="x",1)+I659+$M$77+IF(H661="x",1)+IF(J661="x",1)+IF($M$76="x",2)+J659+IF($M$85="x",1)+IF($M$113="x",1)+IF($M$120="x",2)+IF($M$119="x",2)+IF($M$105="x",1)+IF($M$110="x",1)+IF($M$111="x",2)+IF($M$112="x",4)+IF($M$108="x",1)-IF($M$109="x",1)-IF($M$99="x",1)+IF($M$90="x",1)-8
&amp;"/"&amp;SUM($C$3,$I$3)+IF(H663="x",1)+$I$16-$B$10+$M$94+IF($C$77="x",2)-IF($C$78="x",4)-IF($I$78="x",1)-IF($I$77="x",2)-IF($I$90="x",2)+IF($I$83="x",2)-IF($C$76="x",4)-$C$112+IF(H659="x",1)+I659+$M$77+IF(H661="x",1)+IF(J661="x",1)+IF($M$76="x",2)+J659+IF($M$85="x",1)+IF($M$113="x",1)+IF($M$120="x",2)+IF($M$119="x",2)+IF($M$105="x",1)+IF($M$110="x",1)+IF($M$111="x",2)+IF($M$112="x",4)+IF($M$108="x",1)-IF($M$109="x",1)-IF($M$99="x",1)+IF($M$90="x",1)-5-8
&amp;"/"&amp;SUM($C$3,$I$3)+IF(H663="x",1)+$I$16-$B$10+$M$94+IF($C$77="x",2)-IF($C$78="x",4)-IF($I$78="x",1)-IF($I$77="x",2)-IF($I$90="x",2)+IF($I$83="x",2)-IF($C$76="x",4)-$C$112+IF(H659="x",1)+I659+$M$77+IF(H661="x",1)+IF(J661="x",1)+IF($M$76="x",2)+J659+IF($M$85="x",1)+IF($M$113="x",1)+IF($M$120="x",2)+IF($M$119="x",2)+IF($M$105="x",1)+IF($M$110="x",1)+IF($M$111="x",2)+IF($M$112="x",4)+IF($M$108="x",1)-IF($M$109="x",1)-IF($M$99="x",1)+IF($M$90="x",1)-10-8,
$B$3&gt;=16,
SUM($C$3,$I$3)+IF(H663="x",1)+$I$16-$B$10+$M$94+IF($C$77="x",2)-IF($C$78="x",4)-IF($I$78="x",1)-IF($I$77="x",2)-IF($I$90="x",2)+IF($I$83="x",2)-IF($C$76="x",4)-$C$112+IF(H659="x",1)+I659+$M$77+IF(H661="x",1)+IF(J661="x",1)+IF($M$76="x",2)+J659+IF($M$85="x",1)+IF($M$113="x",1)+IF($M$120="x",2)+IF($M$119="x",2)+IF($M$105="x",1)+IF($M$110="x",1)+IF($M$111="x",2)+IF($M$112="x",4)+IF($M$108="x",1)-IF($M$109="x",1)-IF($M$99="x",1)+IF($M$90="x",1)-8
&amp;"/"&amp;SUM($C$3,$I$3)+IF(H663="x",1)+$I$16-$B$10+$M$94+IF($C$77="x",2)-IF($C$78="x",4)-IF($I$78="x",1)-IF($I$77="x",2)-IF($I$90="x",2)+IF($I$83="x",2)-IF($C$76="x",4)-$C$112+IF(H659="x",1)+I659+$M$77+IF(H661="x",1)+IF(J661="x",1)+IF($M$76="x",2)+J659+IF($M$85="x",1)+IF($M$113="x",1)+IF($M$120="x",2)+IF($M$119="x",2)+IF($M$105="x",1)+IF($M$110="x",1)+IF($M$111="x",2)+IF($M$112="x",4)+IF($M$108="x",1)-IF($M$109="x",1)-IF($M$99="x",1)+IF($M$90="x",1)-5-8
&amp;"/"&amp;SUM($C$3,$I$3)+IF(H663="x",1)+$I$16-$B$10+$M$94+IF($C$77="x",2)-IF($C$78="x",4)-IF($I$78="x",1)-IF($I$77="x",2)-IF($I$90="x",2)+IF($I$83="x",2)-IF($C$76="x",4)-$C$112+IF(H659="x",1)+I659+$M$77+IF(H661="x",1)+IF(J661="x",1)+IF($M$76="x",2)+J659+IF($M$85="x",1)+IF($M$113="x",1)+IF($M$120="x",2)+IF($M$119="x",2)+IF($M$105="x",1)+IF($M$110="x",1)+IF($M$111="x",2)+IF($M$112="x",4)+IF($M$108="x",1)-IF($M$109="x",1)-IF($M$99="x",1)+IF($M$90="x",1)-10-8
&amp;"/"&amp;SUM($C$3,$I$3)+IF(H663="x",1)+$I$16-$B$10+$M$94+IF($C$77="x",2)-IF($C$78="x",4)-IF($I$78="x",1)-IF($I$77="x",2)-IF($I$90="x",2)+IF($I$83="x",2)-IF($C$76="x",4)-$C$112+IF(H659="x",1)+I659+$M$77+IF(H661="x",1)+IF(J661="x",1)+IF($M$76="x",2)+J659+IF($M$85="x",1)+IF($M$113="x",1)+IF($M$120="x",2)+IF($M$119="x",2)+IF($M$105="x",1)+IF($M$110="x",1)+IF($M$111="x",2)+IF($M$112="x",4)+IF($M$108="x",1)-IF($M$109="x",1)-IF($M$99="x",1)+IF($M$90="x",1)-15-8)</f>
        <v>-8</v>
      </c>
      <c r="C663" s="82"/>
      <c r="D663" s="121"/>
      <c r="E663" s="82"/>
      <c r="F663" s="82"/>
      <c r="G663" s="82" t="str">
        <f>(IF($I$89="x","50 %","")&amp;(IF($C$81="x","20 %",""))&amp;(IF($C$82="x","50 %","")))</f>
        <v/>
      </c>
      <c r="H663" s="28"/>
      <c r="K663" s="82"/>
      <c r="AB663" s="59"/>
      <c r="AC663" s="51"/>
      <c r="AD663" s="49"/>
      <c r="AE663" s="51"/>
      <c r="AF663" s="49"/>
      <c r="AG663" s="49"/>
      <c r="AH663" s="49"/>
      <c r="AI663" s="49"/>
      <c r="AJ663" s="67"/>
    </row>
    <row r="664" spans="1:38" x14ac:dyDescent="0.2">
      <c r="B664" s="15"/>
      <c r="C664" s="15"/>
      <c r="D664" s="15"/>
      <c r="F664" s="15"/>
      <c r="G664" s="15"/>
      <c r="H664" s="15"/>
      <c r="I664" s="15"/>
      <c r="AB664" s="62"/>
      <c r="AC664" s="53"/>
      <c r="AD664" s="49"/>
      <c r="AE664" s="51"/>
      <c r="AF664" s="49"/>
      <c r="AG664" s="40"/>
      <c r="AH664" s="40"/>
      <c r="AI664" s="40"/>
      <c r="AJ664" s="67"/>
      <c r="AK664" s="50"/>
      <c r="AL664" s="50"/>
    </row>
    <row r="665" spans="1:38" x14ac:dyDescent="0.2">
      <c r="B665" s="15"/>
      <c r="C665" s="15"/>
      <c r="D665" s="15"/>
      <c r="F665" s="15"/>
      <c r="G665" s="15"/>
      <c r="H665" s="15"/>
      <c r="I665" s="15"/>
    </row>
    <row r="666" spans="1:38" x14ac:dyDescent="0.2">
      <c r="A666" s="10" t="s">
        <v>267</v>
      </c>
      <c r="B666" s="11" t="s">
        <v>1</v>
      </c>
      <c r="C666" s="11" t="s">
        <v>2</v>
      </c>
      <c r="D666" s="11" t="s">
        <v>3</v>
      </c>
      <c r="E666" s="11" t="s">
        <v>229</v>
      </c>
      <c r="F666" s="11" t="s">
        <v>3</v>
      </c>
      <c r="G666" s="11" t="s">
        <v>45</v>
      </c>
      <c r="H666" s="14" t="s">
        <v>179</v>
      </c>
      <c r="I666" s="11" t="s">
        <v>242</v>
      </c>
      <c r="J666" s="11" t="s">
        <v>224</v>
      </c>
      <c r="K666" s="11" t="s">
        <v>225</v>
      </c>
    </row>
    <row r="667" spans="1:38" x14ac:dyDescent="0.2">
      <c r="A667" s="126">
        <f>IF($C$98="x",20*1.5,20)</f>
        <v>20</v>
      </c>
      <c r="B667" s="121">
        <f>_xlfn.IFS($I$85="x",
"PAINISSA",
$C$106="",
SUM($C$3,$I$3)+IF(H671="x",1)+$I$16-$B$10+$M$94+IF($C$77="x",2)-IF($C$78="x",4)-IF($I$78="x",1)-IF($I$77="x",2)-IF($I$90="x",2)+IF($I$83="x",2)-IF($C$76="x",4)-$C$112+IF(H667="x",1)+I667+$M$77+IF(H669="x",1)+IF(J669="x",1)+IF($M$76="x",2)+J667+IF($M$85="x",1)+IF($M$113="x",1)+IF($M$120="x",2)+IF($M$119="x",2)+IF($M$105="x",1)+IF($M$110="x",1)+IF($M$111="x",2)+IF($M$112="x",4)+IF($M$108="x",1)-IF($M$109="x",1)-IF($M$99="x",1)+IF($M$90="x",1),
$B$3&lt;6,
SUM($C$3,$I$3)+IF(H671="x",1)+$I$16-$B$10+$M$94+IF($C$77="x",2)-IF($C$78="x",4)-IF($I$78="x",1)-IF($I$77="x",2)-IF($I$90="x",2)+IF($I$83="x",2)-IF($C$76="x",4)-$C$112+IF(H667="x",1)+I667+$M$77+IF(H669="x",1)+IF(J669="x",1)+IF($M$76="x",2)+J667+IF($M$85="x",1)+IF($M$113="x",1)+IF($M$120="x",2)+IF($M$119="x",2)+IF($M$105="x",1)+IF($M$110="x",1)+IF($M$111="x",2)+IF($M$112="x",4)+IF($M$108="x",1)-IF($M$109="x",1)-IF($M$99="x",1)+IF($M$90="x",1),
$B$3&lt;11,
SUM($C$3,$I$3)+IF(H671="x",1)+$I$16-$B$10+$M$94+IF($C$77="x",2)-IF($C$78="x",4)-IF($I$78="x",1)-IF($I$77="x",2)-IF($I$90="x",2)+IF($I$83="x",2)-IF($C$76="x",4)-$C$112+IF(H667="x",1)+I667+$M$77+IF(H669="x",1)+IF(J669="x",1)+IF($M$76="x",2)+J667+IF($M$85="x",1)+IF($M$113="x",1)+IF($M$120="x",2)+IF($M$119="x",2)+IF($M$105="x",1)+IF($M$110="x",1)+IF($M$111="x",2)+IF($M$112="x",4)+IF($M$108="x",1)-IF($M$109="x",1)-IF($M$99="x",1)+IF($M$90="x",1)
&amp;"/"&amp;SUM($C$3,$I$3)+IF(H671="x",1)+$I$16-$B$10+$M$94+IF($C$77="x",2)-IF($C$78="x",4)-IF($I$78="x",1)-IF($I$77="x",2)-IF($I$90="x",2)+IF($I$83="x",2)-IF($C$76="x",4)-$C$112+IF(H667="x",1)+I667+$M$77+IF(H669="x",1)+IF(J669="x",1)+IF($M$76="x",2)+J667+IF($M$85="x",1)+IF($M$113="x",1)+IF($M$120="x",2)+IF($M$119="x",2)+IF($M$105="x",1)+IF($M$110="x",1)+IF($M$111="x",2)+IF($M$112="x",4)+IF($M$108="x",1)-IF($M$109="x",1)-IF($M$99="x",1)+IF($M$90="x",1)-5,
$B$3&lt;16,
SUM($C$3,$I$3)+IF(H671="x",1)+$I$16-$B$10+$M$94+IF($C$77="x",2)-IF($C$78="x",4)-IF($I$78="x",1)-IF($I$77="x",2)-IF($I$90="x",2)+IF($I$83="x",2)-IF($C$76="x",4)-$C$112+IF(H667="x",1)+I667+$M$77+IF(H669="x",1)+IF(J669="x",1)+IF($M$76="x",2)+J667+IF($M$85="x",1)+IF($M$113="x",1)+IF($M$120="x",2)+IF($M$119="x",2)+IF($M$105="x",1)+IF($M$110="x",1)+IF($M$111="x",2)+IF($M$112="x",4)+IF($M$108="x",1)-IF($M$109="x",1)-IF($M$99="x",1)+IF($M$90="x",1)
&amp;"/"&amp;SUM($C$3,$I$3)+IF(H671="x",1)+$I$16-$B$10+$M$94+IF($C$77="x",2)-IF($C$78="x",4)-IF($I$78="x",1)-IF($I$77="x",2)-IF($I$90="x",2)+IF($I$83="x",2)-IF($C$76="x",4)-$C$112+IF(H667="x",1)+I667+$M$77+IF(H669="x",1)+IF(J669="x",1)+IF($M$76="x",2)+J667+IF($M$85="x",1)+IF($M$113="x",1)+IF($M$120="x",2)+IF($M$119="x",2)+IF($M$105="x",1)+IF($M$110="x",1)+IF($M$111="x",2)+IF($M$112="x",4)+IF($M$108="x",1)-IF($M$109="x",1)-IF($M$99="x",1)+IF($M$90="x",1)-5
&amp;"/"&amp;SUM($C$3,$I$3)+IF(H671="x",1)+$I$16-$B$10+$M$94+IF($C$77="x",2)-IF($C$78="x",4)-IF($I$78="x",1)-IF($I$77="x",2)-IF($I$90="x",2)+IF($I$83="x",2)-IF($C$76="x",4)-$C$112+IF(H667="x",1)+I667+$M$77+IF(H669="x",1)+IF(J669="x",1)+IF($M$76="x",2)+J667+IF($M$85="x",1)+IF($M$113="x",1)+IF($M$120="x",2)+IF($M$119="x",2)+IF($M$105="x",1)+IF($M$110="x",1)+IF($M$111="x",2)+IF($M$112="x",4)+IF($M$108="x",1)-IF($M$109="x",1)-IF($M$99="x",1)+IF($M$90="x",1)-10,
$B$3&gt;=16,
SUM($C$3,$I$3)+IF(H671="x",1)+$I$16-$B$10+$M$94+IF($C$77="x",2)-IF($C$78="x",4)-IF($I$78="x",1)-IF($I$77="x",2)-IF($I$90="x",2)+IF($I$83="x",2)-IF($C$76="x",4)-$C$112+IF(H667="x",1)+I667+$M$77+IF(H669="x",1)+IF(J669="x",1)+IF($M$76="x",2)+J667+IF($M$85="x",1)+IF($M$113="x",1)+IF($M$120="x",2)+IF($M$119="x",2)+IF($M$105="x",1)+IF($M$110="x",1)+IF($M$111="x",2)+IF($M$112="x",4)+IF($M$108="x",1)-IF($M$109="x",1)-IF($M$99="x",1)+IF($M$90="x",1)
&amp;"/"&amp;SUM($C$3,$I$3)+IF(H671="x",1)+$I$16-$B$10+$M$94+IF($C$77="x",2)-IF($C$78="x",4)-IF($I$78="x",1)-IF($I$77="x",2)-IF($I$90="x",2)+IF($I$83="x",2)-IF($C$76="x",4)-$C$112+IF(H667="x",1)+I667+$M$77+IF(H669="x",1)+IF(J669="x",1)+IF($M$76="x",2)+J667+IF($M$85="x",1)+IF($M$113="x",1)+IF($M$120="x",2)+IF($M$119="x",2)+IF($M$105="x",1)+IF($M$110="x",1)+IF($M$111="x",2)+IF($M$112="x",4)+IF($M$108="x",1)-IF($M$109="x",1)-IF($M$99="x",1)+IF($M$90="x",1)-5
&amp;"/"&amp;SUM($C$3,$I$3)+IF(H671="x",1)+$I$16-$B$10+$M$94+IF($C$77="x",2)-IF($C$78="x",4)-IF($I$78="x",1)-IF($I$77="x",2)-IF($I$90="x",2)+IF($I$83="x",2)-IF($C$76="x",4)-$C$112+IF(H667="x",1)+I667+$M$77+IF(H669="x",1)+IF(J669="x",1)+IF($M$76="x",2)+J667+IF($M$85="x",1)+IF($M$113="x",1)+IF($M$120="x",2)+IF($M$119="x",2)+IF($M$105="x",1)+IF($M$110="x",1)+IF($M$111="x",2)+IF($M$112="x",4)+IF($M$108="x",1)-IF($M$109="x",1)-IF($M$99="x",1)+IF($M$90="x",1)-10
&amp;"/"&amp;SUM($C$3,$I$3)+IF(H671="x",1)+$I$16-$B$10+$M$94+IF($C$77="x",2)-IF($C$78="x",4)-IF($I$78="x",1)-IF($I$77="x",2)-IF($I$90="x",2)+IF($I$83="x",2)-IF($C$76="x",4)-$C$112+IF(H667="x",1)+I667+$M$77+IF(H669="x",1)+IF(J669="x",1)+IF($M$76="x",2)+J667+IF($M$85="x",1)+IF($M$113="x",1)+IF($M$120="x",2)+IF($M$119="x",2)+IF($M$105="x",1)+IF($M$110="x",1)+IF($M$111="x",2)+IF($M$112="x",4)+IF($M$108="x",1)-IF($M$109="x",1)-IF($M$99="x",1)+IF($M$90="x",1)-15)</f>
        <v>0</v>
      </c>
      <c r="C667" s="49" t="str">
        <f>_xlfn.IFS($C$7="Minimaalinen","–",$C$7="Taskukokoinen","1",$C$7="Hyvin pieni","1n2",$C$7="Pieni","1n3",$C$7="Keskikokoinen","1n4",$C$7="Iso","1n6",$C$7="Valtava","1n8",$C$7="Suunnaton","2n6",$C$7="Giganttinen","3n6")</f>
        <v>1n4</v>
      </c>
      <c r="D667" s="51">
        <f>SUM($I$2+$C$120)+I667+$M$77+IF(I669="x",2)+IF(K669="x",2)+IF($M$119="x",2)+IF($M$108="x",1)+$M$94-IF($M$109="x",1)+K667+IF(H671="x",1)</f>
        <v>0</v>
      </c>
      <c r="E667" s="49" t="str">
        <f>_xlfn.IFS($C$7="Minimaalinen","–",$C$7="Taskukokoinen","2",$C$7="Hyvin pieni","2n2",$C$7="Pieni","2n3",$C$7="Keskikokoinen","2n4",$C$7="Iso","2n6",$C$7="Valtava","2n8",$C$7="Suunnaton","4n6",$C$7="Giganttinen","6n6")</f>
        <v>2n4</v>
      </c>
      <c r="F667" s="82">
        <f>SUM(D667*2)</f>
        <v>0</v>
      </c>
      <c r="G667" s="82" t="str">
        <f>(IF($I$89="x","50 %","")&amp;(IF($C$81="x","20 %",""))&amp;(IF($C$82="x","50 %","")))</f>
        <v/>
      </c>
      <c r="H667" s="28"/>
      <c r="I667" s="17">
        <v>0</v>
      </c>
      <c r="J667" s="17">
        <v>0</v>
      </c>
      <c r="K667" s="17">
        <v>0</v>
      </c>
      <c r="AB667" s="46"/>
      <c r="AC667" s="48"/>
      <c r="AD667" s="48"/>
      <c r="AE667" s="48"/>
      <c r="AF667" s="48"/>
      <c r="AG667" s="48"/>
      <c r="AH667" s="48"/>
      <c r="AI667" s="48"/>
      <c r="AJ667" s="48"/>
      <c r="AK667" s="48"/>
      <c r="AL667" s="48"/>
    </row>
    <row r="668" spans="1:38" x14ac:dyDescent="0.2">
      <c r="A668" s="127">
        <f>A667*2</f>
        <v>40</v>
      </c>
      <c r="B668" s="123">
        <f>_xlfn.IFS($I$85="x",
"PAINISSA",
$C$106="",
SUM($C$3,$I$3)+IF(H671="x",1)+$I$16-$B$10+$M$94+IF($C$77="x",2)-IF($C$78="x",4)-IF($I$78="x",1)-IF($I$77="x",2)-IF($I$90="x",2)+IF($I$83="x",2)-IF($C$76="x",4)-$C$112+IF(H667="x",1)+I667+$M$77+IF(H669="x",1)+IF(J669="x",1)+IF($M$76="x",2)+J667+IF($M$85="x",1)+IF($M$113="x",1)+IF($M$120="x",2)+IF($M$119="x",2)+IF($M$105="x",1)+IF($M$110="x",1)+IF($M$111="x",2)+IF($M$112="x",4)+IF($M$108="x",1)-IF($M$109="x",1)-IF($M$99="x",1)+IF($M$90="x",1)-2,
$B$3&lt;6,
SUM($C$3,$I$3)+IF(H671="x",1)+$I$16-$B$10+$M$94+IF($C$77="x",2)-IF($C$78="x",4)-IF($I$78="x",1)-IF($I$77="x",2)-IF($I$90="x",2)+IF($I$83="x",2)-IF($C$76="x",4)-$C$112+IF(H667="x",1)+I667+$M$77+IF(H669="x",1)+IF(J669="x",1)+IF($M$76="x",2)+J667+IF($M$85="x",1)+IF($M$113="x",1)+IF($M$120="x",2)+IF($M$119="x",2)+IF($M$105="x",1)+IF($M$110="x",1)+IF($M$111="x",2)+IF($M$112="x",4)+IF($M$108="x",1)-IF($M$109="x",1)-IF($M$99="x",1)+IF($M$90="x",1)-2,
$B$3&lt;11,
SUM($C$3,$I$3)+IF(H671="x",1)+$I$16-$B$10+$M$94+IF($C$77="x",2)-IF($C$78="x",4)-IF($I$78="x",1)-IF($I$77="x",2)-IF($I$90="x",2)+IF($I$83="x",2)-IF($C$76="x",4)-$C$112+IF(H667="x",1)+I667+$M$77+IF(H669="x",1)+IF(J669="x",1)+IF($M$76="x",2)+J667+IF($M$85="x",1)+IF($M$113="x",1)+IF($M$120="x",2)+IF($M$119="x",2)+IF($M$105="x",1)+IF($M$110="x",1)+IF($M$111="x",2)+IF($M$112="x",4)+IF($M$108="x",1)-IF($M$109="x",1)-IF($M$99="x",1)+IF($M$90="x",1)-2
&amp;"/"&amp;SUM($C$3,$I$3)+IF(H671="x",1)+$I$16-$B$10+$M$94+IF($C$77="x",2)-IF($C$78="x",4)-IF($I$78="x",1)-IF($I$77="x",2)-IF($I$90="x",2)+IF($I$83="x",2)-IF($C$76="x",4)-$C$112+IF(H667="x",1)+I667+$M$77+IF(H669="x",1)+IF(J669="x",1)+IF($M$76="x",2)+J667+IF($M$85="x",1)+IF($M$113="x",1)+IF($M$120="x",2)+IF($M$119="x",2)+IF($M$105="x",1)+IF($M$110="x",1)+IF($M$111="x",2)+IF($M$112="x",4)+IF($M$108="x",1)-IF($M$109="x",1)-IF($M$99="x",1)+IF($M$90="x",1)-5-2,
$B$3&lt;16,
SUM($C$3,$I$3)+IF(H671="x",1)+$I$16-$B$10+$M$94+IF($C$77="x",2)-IF($C$78="x",4)-IF($I$78="x",1)-IF($I$77="x",2)-IF($I$90="x",2)+IF($I$83="x",2)-IF($C$76="x",4)-$C$112+IF(H667="x",1)+I667+$M$77+IF(H669="x",1)+IF(J669="x",1)+IF($M$76="x",2)+J667+IF($M$85="x",1)+IF($M$113="x",1)+IF($M$120="x",2)+IF($M$119="x",2)+IF($M$105="x",1)+IF($M$110="x",1)+IF($M$111="x",2)+IF($M$112="x",4)+IF($M$108="x",1)-IF($M$109="x",1)-IF($M$99="x",1)+IF($M$90="x",1)-2
&amp;"/"&amp;SUM($C$3,$I$3)+IF(H671="x",1)+$I$16-$B$10+$M$94+IF($C$77="x",2)-IF($C$78="x",4)-IF($I$78="x",1)-IF($I$77="x",2)-IF($I$90="x",2)+IF($I$83="x",2)-IF($C$76="x",4)-$C$112+IF(H667="x",1)+I667+$M$77+IF(H669="x",1)+IF(J669="x",1)+IF($M$76="x",2)+J667+IF($M$85="x",1)+IF($M$113="x",1)+IF($M$120="x",2)+IF($M$119="x",2)+IF($M$105="x",1)+IF($M$110="x",1)+IF($M$111="x",2)+IF($M$112="x",4)+IF($M$108="x",1)-IF($M$109="x",1)-IF($M$99="x",1)+IF($M$90="x",1)-5-2
&amp;"/"&amp;SUM($C$3,$I$3)+IF(H671="x",1)+$I$16-$B$10+$M$94+IF($C$77="x",2)-IF($C$78="x",4)-IF($I$78="x",1)-IF($I$77="x",2)-IF($I$90="x",2)+IF($I$83="x",2)-IF($C$76="x",4)-$C$112+IF(H667="x",1)+I667+$M$77+IF(H669="x",1)+IF(J669="x",1)+IF($M$76="x",2)+J667+IF($M$85="x",1)+IF($M$113="x",1)+IF($M$120="x",2)+IF($M$119="x",2)+IF($M$105="x",1)+IF($M$110="x",1)+IF($M$111="x",2)+IF($M$112="x",4)+IF($M$108="x",1)-IF($M$109="x",1)-IF($M$99="x",1)+IF($M$90="x",1)-10-2,
$B$3&gt;=16,
SUM($C$3,$I$3)+IF(H671="x",1)+$I$16-$B$10+$M$94+IF($C$77="x",2)-IF($C$78="x",4)-IF($I$78="x",1)-IF($I$77="x",2)-IF($I$90="x",2)+IF($I$83="x",2)-IF($C$76="x",4)-$C$112+IF(H667="x",1)+I667+$M$77+IF(H669="x",1)+IF(J669="x",1)+IF($M$76="x",2)+J667+IF($M$85="x",1)+IF($M$113="x",1)+IF($M$120="x",2)+IF($M$119="x",2)+IF($M$105="x",1)+IF($M$110="x",1)+IF($M$111="x",2)+IF($M$112="x",4)+IF($M$108="x",1)-IF($M$109="x",1)-IF($M$99="x",1)+IF($M$90="x",1)-2
&amp;"/"&amp;SUM($C$3,$I$3)+IF(H671="x",1)+$I$16-$B$10+$M$94+IF($C$77="x",2)-IF($C$78="x",4)-IF($I$78="x",1)-IF($I$77="x",2)-IF($I$90="x",2)+IF($I$83="x",2)-IF($C$76="x",4)-$C$112+IF(H667="x",1)+I667+$M$77+IF(H669="x",1)+IF(J669="x",1)+IF($M$76="x",2)+J667+IF($M$85="x",1)+IF($M$113="x",1)+IF($M$120="x",2)+IF($M$119="x",2)+IF($M$105="x",1)+IF($M$110="x",1)+IF($M$111="x",2)+IF($M$112="x",4)+IF($M$108="x",1)-IF($M$109="x",1)-IF($M$99="x",1)+IF($M$90="x",1)-5-2
&amp;"/"&amp;SUM($C$3,$I$3)+IF(H671="x",1)+$I$16-$B$10+$M$94+IF($C$77="x",2)-IF($C$78="x",4)-IF($I$78="x",1)-IF($I$77="x",2)-IF($I$90="x",2)+IF($I$83="x",2)-IF($C$76="x",4)-$C$112+IF(H667="x",1)+I667+$M$77+IF(H669="x",1)+IF(J669="x",1)+IF($M$76="x",2)+J667+IF($M$85="x",1)+IF($M$113="x",1)+IF($M$120="x",2)+IF($M$119="x",2)+IF($M$105="x",1)+IF($M$110="x",1)+IF($M$111="x",2)+IF($M$112="x",4)+IF($M$108="x",1)-IF($M$109="x",1)-IF($M$99="x",1)+IF($M$90="x",1)-10-2
&amp;"/"&amp;SUM($C$3,$I$3)+IF(H671="x",1)+$I$16-$B$10+$M$94+IF($C$77="x",2)-IF($C$78="x",4)-IF($I$78="x",1)-IF($I$77="x",2)-IF($I$90="x",2)+IF($I$83="x",2)-IF($C$76="x",4)-$C$112+IF(H667="x",1)+I667+$M$77+IF(H669="x",1)+IF(J669="x",1)+IF($M$76="x",2)+J667+IF($M$85="x",1)+IF($M$113="x",1)+IF($M$120="x",2)+IF($M$119="x",2)+IF($M$105="x",1)+IF($M$110="x",1)+IF($M$111="x",2)+IF($M$112="x",4)+IF($M$108="x",1)-IF($M$109="x",1)-IF($M$99="x",1)+IF($M$90="x",1)-15-2)</f>
        <v>-2</v>
      </c>
      <c r="C668" s="82"/>
      <c r="D668" s="121"/>
      <c r="E668" s="82"/>
      <c r="F668" s="82"/>
      <c r="G668" s="123" t="str">
        <f>(IF($I$89="x","50 %","")&amp;(IF($C$81="x","20 %",""))&amp;(IF($C$82="x","50 %","")))</f>
        <v/>
      </c>
      <c r="H668" s="14" t="s">
        <v>220</v>
      </c>
      <c r="I668" s="14" t="s">
        <v>221</v>
      </c>
      <c r="J668" s="14" t="s">
        <v>222</v>
      </c>
      <c r="K668" s="14" t="s">
        <v>223</v>
      </c>
      <c r="AB668" s="59"/>
      <c r="AC668" s="51"/>
      <c r="AD668" s="49"/>
      <c r="AE668" s="51"/>
      <c r="AF668" s="49"/>
      <c r="AG668" s="49"/>
      <c r="AH668" s="49"/>
      <c r="AI668" s="40"/>
      <c r="AJ668" s="66"/>
      <c r="AK668" s="66"/>
      <c r="AL668" s="66"/>
    </row>
    <row r="669" spans="1:38" x14ac:dyDescent="0.2">
      <c r="A669" s="126">
        <f>A667*3</f>
        <v>60</v>
      </c>
      <c r="B669" s="121">
        <f>_xlfn.IFS($I$85="x",
"PAINISSA",
$C$106="",
SUM($C$3,$I$3)+IF(H671="x",1)+$I$16-$B$10+$M$94+IF($C$77="x",2)-IF($C$78="x",4)-IF($I$78="x",1)-IF($I$77="x",2)-IF($I$90="x",2)+IF($I$83="x",2)-IF($C$76="x",4)-$C$112+IF(H667="x",1)+I667+$M$77+IF(H669="x",1)+IF(J669="x",1)+IF($M$76="x",2)+J667+IF($M$85="x",1)+IF($M$113="x",1)+IF($M$120="x",2)+IF($M$119="x",2)+IF($M$105="x",1)+IF($M$110="x",1)+IF($M$111="x",2)+IF($M$112="x",4)+IF($M$108="x",1)-IF($M$109="x",1)-IF($M$99="x",1)+IF($M$90="x",1)-4,
$B$3&lt;6,
SUM($C$3,$I$3)+IF(H671="x",1)+$I$16-$B$10+$M$94+IF($C$77="x",2)-IF($C$78="x",4)-IF($I$78="x",1)-IF($I$77="x",2)-IF($I$90="x",2)+IF($I$83="x",2)-IF($C$76="x",4)-$C$112+IF(H667="x",1)+I667+$M$77+IF(H669="x",1)+IF(J669="x",1)+IF($M$76="x",2)+J667+IF($M$85="x",1)+IF($M$113="x",1)+IF($M$120="x",2)+IF($M$119="x",2)+IF($M$105="x",1)+IF($M$110="x",1)+IF($M$111="x",2)+IF($M$112="x",4)+IF($M$108="x",1)-IF($M$109="x",1)-IF($M$99="x",1)+IF($M$90="x",1)-4,
$B$3&lt;11,
SUM($C$3,$I$3)+IF(H671="x",1)+$I$16-$B$10+$M$94+IF($C$77="x",2)-IF($C$78="x",4)-IF($I$78="x",1)-IF($I$77="x",2)-IF($I$90="x",2)+IF($I$83="x",2)-IF($C$76="x",4)-$C$112+IF(H667="x",1)+I667+$M$77+IF(H669="x",1)+IF(J669="x",1)+IF($M$76="x",2)+J667+IF($M$85="x",1)+IF($M$113="x",1)+IF($M$120="x",2)+IF($M$119="x",2)+IF($M$105="x",1)+IF($M$110="x",1)+IF($M$111="x",2)+IF($M$112="x",4)+IF($M$108="x",1)-IF($M$109="x",1)-IF($M$99="x",1)+IF($M$90="x",1)-4
&amp;"/"&amp;SUM($C$3,$I$3)+IF(H671="x",1)+$I$16-$B$10+$M$94+IF($C$77="x",2)-IF($C$78="x",4)-IF($I$78="x",1)-IF($I$77="x",2)-IF($I$90="x",2)+IF($I$83="x",2)-IF($C$76="x",4)-$C$112+IF(H667="x",1)+I667+$M$77+IF(H669="x",1)+IF(J669="x",1)+IF($M$76="x",2)+J667+IF($M$85="x",1)+IF($M$113="x",1)+IF($M$120="x",2)+IF($M$119="x",2)+IF($M$105="x",1)+IF($M$110="x",1)+IF($M$111="x",2)+IF($M$112="x",4)+IF($M$108="x",1)-IF($M$109="x",1)-IF($M$99="x",1)+IF($M$90="x",1)-5-4,
$B$3&lt;16,
SUM($C$3,$I$3)+IF(H671="x",1)+$I$16-$B$10+$M$94+IF($C$77="x",2)-IF($C$78="x",4)-IF($I$78="x",1)-IF($I$77="x",2)-IF($I$90="x",2)+IF($I$83="x",2)-IF($C$76="x",4)-$C$112+IF(H667="x",1)+I667+$M$77+IF(H669="x",1)+IF(J669="x",1)+IF($M$76="x",2)+J667+IF($M$85="x",1)+IF($M$113="x",1)+IF($M$120="x",2)+IF($M$119="x",2)+IF($M$105="x",1)+IF($M$110="x",1)+IF($M$111="x",2)+IF($M$112="x",4)+IF($M$108="x",1)-IF($M$109="x",1)-IF($M$99="x",1)+IF($M$90="x",1)-4
&amp;"/"&amp;SUM($C$3,$I$3)+IF(H671="x",1)+$I$16-$B$10+$M$94+IF($C$77="x",2)-IF($C$78="x",4)-IF($I$78="x",1)-IF($I$77="x",2)-IF($I$90="x",2)+IF($I$83="x",2)-IF($C$76="x",4)-$C$112+IF(H667="x",1)+I667+$M$77+IF(H669="x",1)+IF(J669="x",1)+IF($M$76="x",2)+J667+IF($M$85="x",1)+IF($M$113="x",1)+IF($M$120="x",2)+IF($M$119="x",2)+IF($M$105="x",1)+IF($M$110="x",1)+IF($M$111="x",2)+IF($M$112="x",4)+IF($M$108="x",1)-IF($M$109="x",1)-IF($M$99="x",1)+IF($M$90="x",1)-5-4
&amp;"/"&amp;SUM($C$3,$I$3)+IF(H671="x",1)+$I$16-$B$10+$M$94+IF($C$77="x",2)-IF($C$78="x",4)-IF($I$78="x",1)-IF($I$77="x",2)-IF($I$90="x",2)+IF($I$83="x",2)-IF($C$76="x",4)-$C$112+IF(H667="x",1)+I667+$M$77+IF(H669="x",1)+IF(J669="x",1)+IF($M$76="x",2)+J667+IF($M$85="x",1)+IF($M$113="x",1)+IF($M$120="x",2)+IF($M$119="x",2)+IF($M$105="x",1)+IF($M$110="x",1)+IF($M$111="x",2)+IF($M$112="x",4)+IF($M$108="x",1)-IF($M$109="x",1)-IF($M$99="x",1)+IF($M$90="x",1)-10-4,
$B$3&gt;=16,
SUM($C$3,$I$3)+IF(H671="x",1)+$I$16-$B$10+$M$94+IF($C$77="x",2)-IF($C$78="x",4)-IF($I$78="x",1)-IF($I$77="x",2)-IF($I$90="x",2)+IF($I$83="x",2)-IF($C$76="x",4)-$C$112+IF(H667="x",1)+I667+$M$77+IF(H669="x",1)+IF(J669="x",1)+IF($M$76="x",2)+J667+IF($M$85="x",1)+IF($M$113="x",1)+IF($M$120="x",2)+IF($M$119="x",2)+IF($M$105="x",1)+IF($M$110="x",1)+IF($M$111="x",2)+IF($M$112="x",4)+IF($M$108="x",1)-IF($M$109="x",1)-IF($M$99="x",1)+IF($M$90="x",1)-4
&amp;"/"&amp;SUM($C$3,$I$3)+IF(H671="x",1)+$I$16-$B$10+$M$94+IF($C$77="x",2)-IF($C$78="x",4)-IF($I$78="x",1)-IF($I$77="x",2)-IF($I$90="x",2)+IF($I$83="x",2)-IF($C$76="x",4)-$C$112+IF(H667="x",1)+I667+$M$77+IF(H669="x",1)+IF(J669="x",1)+IF($M$76="x",2)+J667+IF($M$85="x",1)+IF($M$113="x",1)+IF($M$120="x",2)+IF($M$119="x",2)+IF($M$105="x",1)+IF($M$110="x",1)+IF($M$111="x",2)+IF($M$112="x",4)+IF($M$108="x",1)-IF($M$109="x",1)-IF($M$99="x",1)+IF($M$90="x",1)-5-4
&amp;"/"&amp;SUM($C$3,$I$3)+IF(H671="x",1)+$I$16-$B$10+$M$94+IF($C$77="x",2)-IF($C$78="x",4)-IF($I$78="x",1)-IF($I$77="x",2)-IF($I$90="x",2)+IF($I$83="x",2)-IF($C$76="x",4)-$C$112+IF(H667="x",1)+I667+$M$77+IF(H669="x",1)+IF(J669="x",1)+IF($M$76="x",2)+J667+IF($M$85="x",1)+IF($M$113="x",1)+IF($M$120="x",2)+IF($M$119="x",2)+IF($M$105="x",1)+IF($M$110="x",1)+IF($M$111="x",2)+IF($M$112="x",4)+IF($M$108="x",1)-IF($M$109="x",1)-IF($M$99="x",1)+IF($M$90="x",1)-10-4
&amp;"/"&amp;SUM($C$3,$I$3)+IF(H671="x",1)+$I$16-$B$10+$M$94+IF($C$77="x",2)-IF($C$78="x",4)-IF($I$78="x",1)-IF($I$77="x",2)-IF($I$90="x",2)+IF($I$83="x",2)-IF($C$76="x",4)-$C$112+IF(H667="x",1)+I667+$M$77+IF(H669="x",1)+IF(J669="x",1)+IF($M$76="x",2)+J667+IF($M$85="x",1)+IF($M$113="x",1)+IF($M$120="x",2)+IF($M$119="x",2)+IF($M$105="x",1)+IF($M$110="x",1)+IF($M$111="x",2)+IF($M$112="x",4)+IF($M$108="x",1)-IF($M$109="x",1)-IF($M$99="x",1)+IF($M$90="x",1)-15-4)</f>
        <v>-4</v>
      </c>
      <c r="C669" s="82"/>
      <c r="D669" s="121"/>
      <c r="E669" s="82"/>
      <c r="F669" s="82"/>
      <c r="G669" s="82" t="str">
        <f>(IF($I$89="x","50 %","")&amp;(IF($C$81="x","20 %",""))&amp;(IF($C$82="x","50 %","")))</f>
        <v/>
      </c>
      <c r="H669" s="28"/>
      <c r="I669" s="28"/>
      <c r="J669" s="28"/>
      <c r="K669" s="28"/>
      <c r="AB669" s="62"/>
      <c r="AC669" s="53"/>
      <c r="AD669" s="49"/>
      <c r="AE669" s="51"/>
      <c r="AF669" s="49"/>
      <c r="AG669" s="49"/>
      <c r="AH669" s="49"/>
      <c r="AI669" s="48"/>
      <c r="AJ669" s="48"/>
      <c r="AK669" s="48"/>
      <c r="AL669" s="48"/>
    </row>
    <row r="670" spans="1:38" x14ac:dyDescent="0.2">
      <c r="A670" s="127">
        <f>A667*4</f>
        <v>80</v>
      </c>
      <c r="B670" s="123">
        <f>_xlfn.IFS($I$85="x",
"PAINISSA",
$C$106="",
SUM($C$3,$I$3)+IF(H671="x",1)+$I$16-$B$10+$M$94+IF($C$77="x",2)-IF($C$78="x",4)-IF($I$78="x",1)-IF($I$77="x",2)-IF($I$90="x",2)+IF($I$83="x",2)-IF($C$76="x",4)-$C$112+IF(H667="x",1)+I667+$M$77+IF(H669="x",1)+IF(J669="x",1)+IF($M$76="x",2)+J667+IF($M$85="x",1)+IF($M$113="x",1)+IF($M$120="x",2)+IF($M$119="x",2)+IF($M$105="x",1)+IF($M$110="x",1)+IF($M$111="x",2)+IF($M$112="x",4)+IF($M$108="x",1)-IF($M$109="x",1)-IF($M$99="x",1)+IF($M$90="x",1)-6,
$B$3&lt;6,
SUM($C$3,$I$3)+IF(H671="x",1)+$I$16-$B$10+$M$94+IF($C$77="x",2)-IF($C$78="x",4)-IF($I$78="x",1)-IF($I$77="x",2)-IF($I$90="x",2)+IF($I$83="x",2)-IF($C$76="x",4)-$C$112+IF(H667="x",1)+I667+$M$77+IF(H669="x",1)+IF(J669="x",1)+IF($M$76="x",2)+J667+IF($M$85="x",1)+IF($M$113="x",1)+IF($M$120="x",2)+IF($M$119="x",2)+IF($M$105="x",1)+IF($M$110="x",1)+IF($M$111="x",2)+IF($M$112="x",4)+IF($M$108="x",1)-IF($M$109="x",1)-IF($M$99="x",1)+IF($M$90="x",1)-6,
$B$3&lt;11,
SUM($C$3,$I$3)+IF(H671="x",1)+$I$16-$B$10+$M$94+IF($C$77="x",2)-IF($C$78="x",4)-IF($I$78="x",1)-IF($I$77="x",2)-IF($I$90="x",2)+IF($I$83="x",2)-IF($C$76="x",4)-$C$112+IF(H667="x",1)+I667+$M$77+IF(H669="x",1)+IF(J669="x",1)+IF($M$76="x",2)+J667+IF($M$85="x",1)+IF($M$113="x",1)+IF($M$120="x",2)+IF($M$119="x",2)+IF($M$105="x",1)+IF($M$110="x",1)+IF($M$111="x",2)+IF($M$112="x",4)+IF($M$108="x",1)-IF($M$109="x",1)-IF($M$99="x",1)+IF($M$90="x",1)-6
&amp;"/"&amp;SUM($C$3,$I$3)+IF(H671="x",1)+$I$16-$B$10+$M$94+IF($C$77="x",2)-IF($C$78="x",4)-IF($I$78="x",1)-IF($I$77="x",2)-IF($I$90="x",2)+IF($I$83="x",2)-IF($C$76="x",4)-$C$112+IF(H667="x",1)+I667+$M$77+IF(H669="x",1)+IF(J669="x",1)+IF($M$76="x",2)+J667+IF($M$85="x",1)+IF($M$113="x",1)+IF($M$120="x",2)+IF($M$119="x",2)+IF($M$105="x",1)+IF($M$110="x",1)+IF($M$111="x",2)+IF($M$112="x",4)+IF($M$108="x",1)-IF($M$109="x",1)-IF($M$99="x",1)+IF($M$90="x",1)-5-6,
$B$3&lt;16,
SUM($C$3,$I$3)+IF(H671="x",1)+$I$16-$B$10+$M$94+IF($C$77="x",2)-IF($C$78="x",4)-IF($I$78="x",1)-IF($I$77="x",2)-IF($I$90="x",2)+IF($I$83="x",2)-IF($C$76="x",4)-$C$112+IF(H667="x",1)+I667+$M$77+IF(H669="x",1)+IF(J669="x",1)+IF($M$76="x",2)+J667+IF($M$85="x",1)+IF($M$113="x",1)+IF($M$120="x",2)+IF($M$119="x",2)+IF($M$105="x",1)+IF($M$110="x",1)+IF($M$111="x",2)+IF($M$112="x",4)+IF($M$108="x",1)-IF($M$109="x",1)-IF($M$99="x",1)+IF($M$90="x",1)-6
&amp;"/"&amp;SUM($C$3,$I$3)+IF(H671="x",1)+$I$16-$B$10+$M$94+IF($C$77="x",2)-IF($C$78="x",4)-IF($I$78="x",1)-IF($I$77="x",2)-IF($I$90="x",2)+IF($I$83="x",2)-IF($C$76="x",4)-$C$112+IF(H667="x",1)+I667+$M$77+IF(H669="x",1)+IF(J669="x",1)+IF($M$76="x",2)+J667+IF($M$85="x",1)+IF($M$113="x",1)+IF($M$120="x",2)+IF($M$119="x",2)+IF($M$105="x",1)+IF($M$110="x",1)+IF($M$111="x",2)+IF($M$112="x",4)+IF($M$108="x",1)-IF($M$109="x",1)-IF($M$99="x",1)+IF($M$90="x",1)-5-6
&amp;"/"&amp;SUM($C$3,$I$3)+IF(H671="x",1)+$I$16-$B$10+$M$94+IF($C$77="x",2)-IF($C$78="x",4)-IF($I$78="x",1)-IF($I$77="x",2)-IF($I$90="x",2)+IF($I$83="x",2)-IF($C$76="x",4)-$C$112+IF(H667="x",1)+I667+$M$77+IF(H669="x",1)+IF(J669="x",1)+IF($M$76="x",2)+J667+IF($M$85="x",1)+IF($M$113="x",1)+IF($M$120="x",2)+IF($M$119="x",2)+IF($M$105="x",1)+IF($M$110="x",1)+IF($M$111="x",2)+IF($M$112="x",4)+IF($M$108="x",1)-IF($M$109="x",1)-IF($M$99="x",1)+IF($M$90="x",1)-10-6,
$B$3&gt;=16,
SUM($C$3,$I$3)+IF(H671="x",1)+$I$16-$B$10+$M$94+IF($C$77="x",2)-IF($C$78="x",4)-IF($I$78="x",1)-IF($I$77="x",2)-IF($I$90="x",2)+IF($I$83="x",2)-IF($C$76="x",4)-$C$112+IF(H667="x",1)+I667+$M$77+IF(H669="x",1)+IF(J669="x",1)+IF($M$76="x",2)+J667+IF($M$85="x",1)+IF($M$113="x",1)+IF($M$120="x",2)+IF($M$119="x",2)+IF($M$105="x",1)+IF($M$110="x",1)+IF($M$111="x",2)+IF($M$112="x",4)+IF($M$108="x",1)-IF($M$109="x",1)-IF($M$99="x",1)+IF($M$90="x",1)-6
&amp;"/"&amp;SUM($C$3,$I$3)+IF(H671="x",1)+$I$16-$B$10+$M$94+IF($C$77="x",2)-IF($C$78="x",4)-IF($I$78="x",1)-IF($I$77="x",2)-IF($I$90="x",2)+IF($I$83="x",2)-IF($C$76="x",4)-$C$112+IF(H667="x",1)+I667+$M$77+IF(H669="x",1)+IF(J669="x",1)+IF($M$76="x",2)+J667+IF($M$85="x",1)+IF($M$113="x",1)+IF($M$120="x",2)+IF($M$119="x",2)+IF($M$105="x",1)+IF($M$110="x",1)+IF($M$111="x",2)+IF($M$112="x",4)+IF($M$108="x",1)-IF($M$109="x",1)-IF($M$99="x",1)+IF($M$90="x",1)-5-6
&amp;"/"&amp;SUM($C$3,$I$3)+IF(H671="x",1)+$I$16-$B$10+$M$94+IF($C$77="x",2)-IF($C$78="x",4)-IF($I$78="x",1)-IF($I$77="x",2)-IF($I$90="x",2)+IF($I$83="x",2)-IF($C$76="x",4)-$C$112+IF(H667="x",1)+I667+$M$77+IF(H669="x",1)+IF(J669="x",1)+IF($M$76="x",2)+J667+IF($M$85="x",1)+IF($M$113="x",1)+IF($M$120="x",2)+IF($M$119="x",2)+IF($M$105="x",1)+IF($M$110="x",1)+IF($M$111="x",2)+IF($M$112="x",4)+IF($M$108="x",1)-IF($M$109="x",1)-IF($M$99="x",1)+IF($M$90="x",1)-10-6
&amp;"/"&amp;SUM($C$3,$I$3)+IF(H671="x",1)+$I$16-$B$10+$M$94+IF($C$77="x",2)-IF($C$78="x",4)-IF($I$78="x",1)-IF($I$77="x",2)-IF($I$90="x",2)+IF($I$83="x",2)-IF($C$76="x",4)-$C$112+IF(H667="x",1)+I667+$M$77+IF(H669="x",1)+IF(J669="x",1)+IF($M$76="x",2)+J667+IF($M$85="x",1)+IF($M$113="x",1)+IF($M$120="x",2)+IF($M$119="x",2)+IF($M$105="x",1)+IF($M$110="x",1)+IF($M$111="x",2)+IF($M$112="x",4)+IF($M$108="x",1)-IF($M$109="x",1)-IF($M$99="x",1)+IF($M$90="x",1)-15-6)</f>
        <v>-6</v>
      </c>
      <c r="C670" s="82"/>
      <c r="D670" s="121"/>
      <c r="E670" s="82"/>
      <c r="F670" s="82"/>
      <c r="G670" s="123" t="str">
        <f>(IF($I$89="x","50 %","")&amp;(IF($C$81="x","20 %",""))&amp;(IF($C$82="x","50 %","")))</f>
        <v/>
      </c>
      <c r="H670" s="14" t="s">
        <v>182</v>
      </c>
      <c r="I670" s="15"/>
      <c r="AB670" s="59"/>
      <c r="AC670" s="51"/>
      <c r="AD670" s="49"/>
      <c r="AE670" s="51"/>
      <c r="AF670" s="49"/>
      <c r="AG670" s="49"/>
      <c r="AH670" s="49"/>
      <c r="AI670" s="40"/>
      <c r="AJ670" s="40"/>
      <c r="AK670" s="40"/>
      <c r="AL670" s="40"/>
    </row>
    <row r="671" spans="1:38" x14ac:dyDescent="0.2">
      <c r="A671" s="126">
        <f>A667*5</f>
        <v>100</v>
      </c>
      <c r="B671" s="121">
        <f>_xlfn.IFS($I$85="x",
"PAINISSA",
$C$106="",
SUM($C$3,$I$3)+IF(H671="x",1)+$I$16-$B$10+$M$94+IF($C$77="x",2)-IF($C$78="x",4)-IF($I$78="x",1)-IF($I$77="x",2)-IF($I$90="x",2)+IF($I$83="x",2)-IF($C$76="x",4)-$C$112+IF(H667="x",1)+I667+$M$77+IF(H669="x",1)+IF(J669="x",1)+IF($M$76="x",2)+J667+IF($M$85="x",1)+IF($M$113="x",1)+IF($M$120="x",2)+IF($M$119="x",2)+IF($M$105="x",1)+IF($M$110="x",1)+IF($M$111="x",2)+IF($M$112="x",4)+IF($M$108="x",1)-IF($M$109="x",1)-IF($M$99="x",1)+IF($M$90="x",1)-8,
$B$3&lt;6,
SUM($C$3,$I$3)+IF(H671="x",1)+$I$16-$B$10+$M$94+IF($C$77="x",2)-IF($C$78="x",4)-IF($I$78="x",1)-IF($I$77="x",2)-IF($I$90="x",2)+IF($I$83="x",2)-IF($C$76="x",4)-$C$112+IF(H667="x",1)+I667+$M$77+IF(H669="x",1)+IF(J669="x",1)+IF($M$76="x",2)+J667+IF($M$85="x",1)+IF($M$113="x",1)+IF($M$120="x",2)+IF($M$119="x",2)+IF($M$105="x",1)+IF($M$110="x",1)+IF($M$111="x",2)+IF($M$112="x",4)+IF($M$108="x",1)-IF($M$109="x",1)-IF($M$99="x",1)+IF($M$90="x",1)-8,
$B$3&lt;11,
SUM($C$3,$I$3)+IF(H671="x",1)+$I$16-$B$10+$M$94+IF($C$77="x",2)-IF($C$78="x",4)-IF($I$78="x",1)-IF($I$77="x",2)-IF($I$90="x",2)+IF($I$83="x",2)-IF($C$76="x",4)-$C$112+IF(H667="x",1)+I667+$M$77+IF(H669="x",1)+IF(J669="x",1)+IF($M$76="x",2)+J667+IF($M$85="x",1)+IF($M$113="x",1)+IF($M$120="x",2)+IF($M$119="x",2)+IF($M$105="x",1)+IF($M$110="x",1)+IF($M$111="x",2)+IF($M$112="x",4)+IF($M$108="x",1)-IF($M$109="x",1)-IF($M$99="x",1)+IF($M$90="x",1)-8
&amp;"/"&amp;SUM($C$3,$I$3)+IF(H671="x",1)+$I$16-$B$10+$M$94+IF($C$77="x",2)-IF($C$78="x",4)-IF($I$78="x",1)-IF($I$77="x",2)-IF($I$90="x",2)+IF($I$83="x",2)-IF($C$76="x",4)-$C$112+IF(H667="x",1)+I667+$M$77+IF(H669="x",1)+IF(J669="x",1)+IF($M$76="x",2)+J667+IF($M$85="x",1)+IF($M$113="x",1)+IF($M$120="x",2)+IF($M$119="x",2)+IF($M$105="x",1)+IF($M$110="x",1)+IF($M$111="x",2)+IF($M$112="x",4)+IF($M$108="x",1)-IF($M$109="x",1)-IF($M$99="x",1)+IF($M$90="x",1)-5-8,
$B$3&lt;16,
SUM($C$3,$I$3)+IF(H671="x",1)+$I$16-$B$10+$M$94+IF($C$77="x",2)-IF($C$78="x",4)-IF($I$78="x",1)-IF($I$77="x",2)-IF($I$90="x",2)+IF($I$83="x",2)-IF($C$76="x",4)-$C$112+IF(H667="x",1)+I667+$M$77+IF(H669="x",1)+IF(J669="x",1)+IF($M$76="x",2)+J667+IF($M$85="x",1)+IF($M$113="x",1)+IF($M$120="x",2)+IF($M$119="x",2)+IF($M$105="x",1)+IF($M$110="x",1)+IF($M$111="x",2)+IF($M$112="x",4)+IF($M$108="x",1)-IF($M$109="x",1)-IF($M$99="x",1)+IF($M$90="x",1)-8
&amp;"/"&amp;SUM($C$3,$I$3)+IF(H671="x",1)+$I$16-$B$10+$M$94+IF($C$77="x",2)-IF($C$78="x",4)-IF($I$78="x",1)-IF($I$77="x",2)-IF($I$90="x",2)+IF($I$83="x",2)-IF($C$76="x",4)-$C$112+IF(H667="x",1)+I667+$M$77+IF(H669="x",1)+IF(J669="x",1)+IF($M$76="x",2)+J667+IF($M$85="x",1)+IF($M$113="x",1)+IF($M$120="x",2)+IF($M$119="x",2)+IF($M$105="x",1)+IF($M$110="x",1)+IF($M$111="x",2)+IF($M$112="x",4)+IF($M$108="x",1)-IF($M$109="x",1)-IF($M$99="x",1)+IF($M$90="x",1)-5-8
&amp;"/"&amp;SUM($C$3,$I$3)+IF(H671="x",1)+$I$16-$B$10+$M$94+IF($C$77="x",2)-IF($C$78="x",4)-IF($I$78="x",1)-IF($I$77="x",2)-IF($I$90="x",2)+IF($I$83="x",2)-IF($C$76="x",4)-$C$112+IF(H667="x",1)+I667+$M$77+IF(H669="x",1)+IF(J669="x",1)+IF($M$76="x",2)+J667+IF($M$85="x",1)+IF($M$113="x",1)+IF($M$120="x",2)+IF($M$119="x",2)+IF($M$105="x",1)+IF($M$110="x",1)+IF($M$111="x",2)+IF($M$112="x",4)+IF($M$108="x",1)-IF($M$109="x",1)-IF($M$99="x",1)+IF($M$90="x",1)-10-8,
$B$3&gt;=16,
SUM($C$3,$I$3)+IF(H671="x",1)+$I$16-$B$10+$M$94+IF($C$77="x",2)-IF($C$78="x",4)-IF($I$78="x",1)-IF($I$77="x",2)-IF($I$90="x",2)+IF($I$83="x",2)-IF($C$76="x",4)-$C$112+IF(H667="x",1)+I667+$M$77+IF(H669="x",1)+IF(J669="x",1)+IF($M$76="x",2)+J667+IF($M$85="x",1)+IF($M$113="x",1)+IF($M$120="x",2)+IF($M$119="x",2)+IF($M$105="x",1)+IF($M$110="x",1)+IF($M$111="x",2)+IF($M$112="x",4)+IF($M$108="x",1)-IF($M$109="x",1)-IF($M$99="x",1)+IF($M$90="x",1)-8
&amp;"/"&amp;SUM($C$3,$I$3)+IF(H671="x",1)+$I$16-$B$10+$M$94+IF($C$77="x",2)-IF($C$78="x",4)-IF($I$78="x",1)-IF($I$77="x",2)-IF($I$90="x",2)+IF($I$83="x",2)-IF($C$76="x",4)-$C$112+IF(H667="x",1)+I667+$M$77+IF(H669="x",1)+IF(J669="x",1)+IF($M$76="x",2)+J667+IF($M$85="x",1)+IF($M$113="x",1)+IF($M$120="x",2)+IF($M$119="x",2)+IF($M$105="x",1)+IF($M$110="x",1)+IF($M$111="x",2)+IF($M$112="x",4)+IF($M$108="x",1)-IF($M$109="x",1)-IF($M$99="x",1)+IF($M$90="x",1)-5-8
&amp;"/"&amp;SUM($C$3,$I$3)+IF(H671="x",1)+$I$16-$B$10+$M$94+IF($C$77="x",2)-IF($C$78="x",4)-IF($I$78="x",1)-IF($I$77="x",2)-IF($I$90="x",2)+IF($I$83="x",2)-IF($C$76="x",4)-$C$112+IF(H667="x",1)+I667+$M$77+IF(H669="x",1)+IF(J669="x",1)+IF($M$76="x",2)+J667+IF($M$85="x",1)+IF($M$113="x",1)+IF($M$120="x",2)+IF($M$119="x",2)+IF($M$105="x",1)+IF($M$110="x",1)+IF($M$111="x",2)+IF($M$112="x",4)+IF($M$108="x",1)-IF($M$109="x",1)-IF($M$99="x",1)+IF($M$90="x",1)-10-8
&amp;"/"&amp;SUM($C$3,$I$3)+IF(H671="x",1)+$I$16-$B$10+$M$94+IF($C$77="x",2)-IF($C$78="x",4)-IF($I$78="x",1)-IF($I$77="x",2)-IF($I$90="x",2)+IF($I$83="x",2)-IF($C$76="x",4)-$C$112+IF(H667="x",1)+I667+$M$77+IF(H669="x",1)+IF(J669="x",1)+IF($M$76="x",2)+J667+IF($M$85="x",1)+IF($M$113="x",1)+IF($M$120="x",2)+IF($M$119="x",2)+IF($M$105="x",1)+IF($M$110="x",1)+IF($M$111="x",2)+IF($M$112="x",4)+IF($M$108="x",1)-IF($M$109="x",1)-IF($M$99="x",1)+IF($M$90="x",1)-15-8)</f>
        <v>-8</v>
      </c>
      <c r="C671" s="82"/>
      <c r="D671" s="121"/>
      <c r="E671" s="82"/>
      <c r="F671" s="82"/>
      <c r="G671" s="82" t="str">
        <f>(IF($I$89="x","50 %","")&amp;(IF($C$81="x","20 %",""))&amp;(IF($C$82="x","50 %","")))</f>
        <v/>
      </c>
      <c r="H671" s="28"/>
      <c r="K671" s="82"/>
      <c r="AB671" s="62"/>
      <c r="AC671" s="53"/>
      <c r="AD671" s="49"/>
      <c r="AE671" s="51"/>
      <c r="AF671" s="49"/>
      <c r="AG671" s="49"/>
      <c r="AH671" s="49"/>
      <c r="AI671" s="48"/>
      <c r="AJ671" s="48"/>
    </row>
    <row r="672" spans="1:38" x14ac:dyDescent="0.2">
      <c r="B672" s="15"/>
      <c r="C672" s="15"/>
      <c r="D672" s="15"/>
      <c r="F672" s="15"/>
      <c r="G672" s="15"/>
      <c r="H672" s="15"/>
      <c r="I672" s="15"/>
      <c r="AB672" s="59"/>
      <c r="AC672" s="51"/>
      <c r="AD672" s="49"/>
      <c r="AE672" s="51"/>
      <c r="AF672" s="49"/>
      <c r="AG672" s="49"/>
      <c r="AH672" s="49"/>
      <c r="AI672" s="40"/>
      <c r="AJ672" s="40"/>
      <c r="AL672" s="50"/>
    </row>
    <row r="673" spans="1:38" x14ac:dyDescent="0.2">
      <c r="B673" s="15"/>
      <c r="C673" s="15"/>
      <c r="D673" s="15"/>
      <c r="F673" s="15"/>
      <c r="G673" s="15"/>
      <c r="H673" s="15"/>
      <c r="I673" s="15"/>
      <c r="AB673" s="62"/>
      <c r="AC673" s="53"/>
      <c r="AD673" s="49"/>
      <c r="AE673" s="51"/>
      <c r="AF673" s="49"/>
      <c r="AG673" s="49"/>
      <c r="AH673" s="49"/>
      <c r="AI673" s="49"/>
      <c r="AJ673" s="50"/>
      <c r="AK673" s="65"/>
      <c r="AL673" s="65"/>
    </row>
    <row r="674" spans="1:38" x14ac:dyDescent="0.2">
      <c r="A674" s="34" t="s">
        <v>268</v>
      </c>
      <c r="B674" s="11" t="s">
        <v>1</v>
      </c>
      <c r="C674" s="11" t="s">
        <v>2</v>
      </c>
      <c r="D674" s="11" t="s">
        <v>3</v>
      </c>
      <c r="E674" s="11" t="s">
        <v>229</v>
      </c>
      <c r="F674" s="11" t="s">
        <v>3</v>
      </c>
      <c r="G674" s="11" t="s">
        <v>45</v>
      </c>
      <c r="H674" s="14" t="s">
        <v>179</v>
      </c>
      <c r="I674" s="11" t="s">
        <v>242</v>
      </c>
      <c r="J674" s="11" t="s">
        <v>224</v>
      </c>
      <c r="K674" s="11" t="s">
        <v>225</v>
      </c>
      <c r="AB674" s="59"/>
      <c r="AC674" s="51"/>
      <c r="AD674" s="49"/>
      <c r="AE674" s="51"/>
      <c r="AF674" s="49"/>
      <c r="AG674" s="49"/>
      <c r="AH674" s="49"/>
      <c r="AI674" s="49"/>
      <c r="AJ674" s="40"/>
      <c r="AK674" s="65"/>
      <c r="AL674" s="65"/>
    </row>
    <row r="675" spans="1:38" x14ac:dyDescent="0.2">
      <c r="A675" s="126">
        <f>IF($C$98="x",20*1.5,20)</f>
        <v>20</v>
      </c>
      <c r="B675" s="121">
        <f>_xlfn.IFS($I$85="x",
"PAINISSA",
$C$106="",
SUM($C$3,$I$3)+IF(H679="x",1)+$I$16-$B$10+$M$94+IF($C$77="x",2)-IF($C$78="x",4)-IF($I$78="x",1)-IF($I$77="x",2)-IF($I$90="x",2)+IF($I$83="x",2)-IF($C$76="x",4)-$C$112+IF(H675="x",1)+I675+$M$77+IF(H677="x",1)+IF(J677="x",1)+IF($M$76="x",2)+J675+IF($M$85="x",1)+IF($M$113="x",1)+IF($M$120="x",2)+IF($M$119="x",2)+IF($M$105="x",1)+IF($M$110="x",1)+IF($M$111="x",2)+IF($M$112="x",4)+IF($M$108="x",1)-IF($M$109="x",1)-IF($M$99="x",1)+IF($M$90="x",1),
$B$3&lt;6,
SUM($C$3,$I$3)+IF(H679="x",1)+$I$16-$B$10+$M$94+IF($C$77="x",2)-IF($C$78="x",4)-IF($I$78="x",1)-IF($I$77="x",2)-IF($I$90="x",2)+IF($I$83="x",2)-IF($C$76="x",4)-$C$112+IF(H675="x",1)+I675+$M$77+IF(H677="x",1)+IF(J677="x",1)+IF($M$76="x",2)+J675+IF($M$85="x",1)+IF($M$113="x",1)+IF($M$120="x",2)+IF($M$119="x",2)+IF($M$105="x",1)+IF($M$110="x",1)+IF($M$111="x",2)+IF($M$112="x",4)+IF($M$108="x",1)-IF($M$109="x",1)-IF($M$99="x",1)+IF($M$90="x",1),
$B$3&lt;11,
SUM($C$3,$I$3)+IF(H679="x",1)+$I$16-$B$10+$M$94+IF($C$77="x",2)-IF($C$78="x",4)-IF($I$78="x",1)-IF($I$77="x",2)-IF($I$90="x",2)+IF($I$83="x",2)-IF($C$76="x",4)-$C$112+IF(H675="x",1)+I675+$M$77+IF(H677="x",1)+IF(J677="x",1)+IF($M$76="x",2)+J675+IF($M$85="x",1)+IF($M$113="x",1)+IF($M$120="x",2)+IF($M$119="x",2)+IF($M$105="x",1)+IF($M$110="x",1)+IF($M$111="x",2)+IF($M$112="x",4)+IF($M$108="x",1)-IF($M$109="x",1)-IF($M$99="x",1)+IF($M$90="x",1)
&amp;"/"&amp;SUM($C$3,$I$3)+IF(H679="x",1)+$I$16-$B$10+$M$94+IF($C$77="x",2)-IF($C$78="x",4)-IF($I$78="x",1)-IF($I$77="x",2)-IF($I$90="x",2)+IF($I$83="x",2)-IF($C$76="x",4)-$C$112+IF(H675="x",1)+I675+$M$77+IF(H677="x",1)+IF(J677="x",1)+IF($M$76="x",2)+J675+IF($M$85="x",1)+IF($M$113="x",1)+IF($M$120="x",2)+IF($M$119="x",2)+IF($M$105="x",1)+IF($M$110="x",1)+IF($M$111="x",2)+IF($M$112="x",4)+IF($M$108="x",1)-IF($M$109="x",1)-IF($M$99="x",1)+IF($M$90="x",1)-5,
$B$3&lt;16,
SUM($C$3,$I$3)+IF(H679="x",1)+$I$16-$B$10+$M$94+IF($C$77="x",2)-IF($C$78="x",4)-IF($I$78="x",1)-IF($I$77="x",2)-IF($I$90="x",2)+IF($I$83="x",2)-IF($C$76="x",4)-$C$112+IF(H675="x",1)+I675+$M$77+IF(H677="x",1)+IF(J677="x",1)+IF($M$76="x",2)+J675+IF($M$85="x",1)+IF($M$113="x",1)+IF($M$120="x",2)+IF($M$119="x",2)+IF($M$105="x",1)+IF($M$110="x",1)+IF($M$111="x",2)+IF($M$112="x",4)+IF($M$108="x",1)-IF($M$109="x",1)-IF($M$99="x",1)+IF($M$90="x",1)
&amp;"/"&amp;SUM($C$3,$I$3)+IF(H679="x",1)+$I$16-$B$10+$M$94+IF($C$77="x",2)-IF($C$78="x",4)-IF($I$78="x",1)-IF($I$77="x",2)-IF($I$90="x",2)+IF($I$83="x",2)-IF($C$76="x",4)-$C$112+IF(H675="x",1)+I675+$M$77+IF(H677="x",1)+IF(J677="x",1)+IF($M$76="x",2)+J675+IF($M$85="x",1)+IF($M$113="x",1)+IF($M$120="x",2)+IF($M$119="x",2)+IF($M$105="x",1)+IF($M$110="x",1)+IF($M$111="x",2)+IF($M$112="x",4)+IF($M$108="x",1)-IF($M$109="x",1)-IF($M$99="x",1)+IF($M$90="x",1)-5
&amp;"/"&amp;SUM($C$3,$I$3)+IF(H679="x",1)+$I$16-$B$10+$M$94+IF($C$77="x",2)-IF($C$78="x",4)-IF($I$78="x",1)-IF($I$77="x",2)-IF($I$90="x",2)+IF($I$83="x",2)-IF($C$76="x",4)-$C$112+IF(H675="x",1)+I675+$M$77+IF(H677="x",1)+IF(J677="x",1)+IF($M$76="x",2)+J675+IF($M$85="x",1)+IF($M$113="x",1)+IF($M$120="x",2)+IF($M$119="x",2)+IF($M$105="x",1)+IF($M$110="x",1)+IF($M$111="x",2)+IF($M$112="x",4)+IF($M$108="x",1)-IF($M$109="x",1)-IF($M$99="x",1)+IF($M$90="x",1)-10,
$B$3&gt;=16,
SUM($C$3,$I$3)+IF(H679="x",1)+$I$16-$B$10+$M$94+IF($C$77="x",2)-IF($C$78="x",4)-IF($I$78="x",1)-IF($I$77="x",2)-IF($I$90="x",2)+IF($I$83="x",2)-IF($C$76="x",4)-$C$112+IF(H675="x",1)+I675+$M$77+IF(H677="x",1)+IF(J677="x",1)+IF($M$76="x",2)+J675+IF($M$85="x",1)+IF($M$113="x",1)+IF($M$120="x",2)+IF($M$119="x",2)+IF($M$105="x",1)+IF($M$110="x",1)+IF($M$111="x",2)+IF($M$112="x",4)+IF($M$108="x",1)-IF($M$109="x",1)-IF($M$99="x",1)+IF($M$90="x",1)
&amp;"/"&amp;SUM($C$3,$I$3)+IF(H679="x",1)+$I$16-$B$10+$M$94+IF($C$77="x",2)-IF($C$78="x",4)-IF($I$78="x",1)-IF($I$77="x",2)-IF($I$90="x",2)+IF($I$83="x",2)-IF($C$76="x",4)-$C$112+IF(H675="x",1)+I675+$M$77+IF(H677="x",1)+IF(J677="x",1)+IF($M$76="x",2)+J675+IF($M$85="x",1)+IF($M$113="x",1)+IF($M$120="x",2)+IF($M$119="x",2)+IF($M$105="x",1)+IF($M$110="x",1)+IF($M$111="x",2)+IF($M$112="x",4)+IF($M$108="x",1)-IF($M$109="x",1)-IF($M$99="x",1)+IF($M$90="x",1)-5
&amp;"/"&amp;SUM($C$3,$I$3)+IF(H679="x",1)+$I$16-$B$10+$M$94+IF($C$77="x",2)-IF($C$78="x",4)-IF($I$78="x",1)-IF($I$77="x",2)-IF($I$90="x",2)+IF($I$83="x",2)-IF($C$76="x",4)-$C$112+IF(H675="x",1)+I675+$M$77+IF(H677="x",1)+IF(J677="x",1)+IF($M$76="x",2)+J675+IF($M$85="x",1)+IF($M$113="x",1)+IF($M$120="x",2)+IF($M$119="x",2)+IF($M$105="x",1)+IF($M$110="x",1)+IF($M$111="x",2)+IF($M$112="x",4)+IF($M$108="x",1)-IF($M$109="x",1)-IF($M$99="x",1)+IF($M$90="x",1)-10
&amp;"/"&amp;SUM($C$3,$I$3)+IF(H679="x",1)+$I$16-$B$10+$M$94+IF($C$77="x",2)-IF($C$78="x",4)-IF($I$78="x",1)-IF($I$77="x",2)-IF($I$90="x",2)+IF($I$83="x",2)-IF($C$76="x",4)-$C$112+IF(H675="x",1)+I675+$M$77+IF(H677="x",1)+IF(J677="x",1)+IF($M$76="x",2)+J675+IF($M$85="x",1)+IF($M$113="x",1)+IF($M$120="x",2)+IF($M$119="x",2)+IF($M$105="x",1)+IF($M$110="x",1)+IF($M$111="x",2)+IF($M$112="x",4)+IF($M$108="x",1)-IF($M$109="x",1)-IF($M$99="x",1)+IF($M$90="x",1)-15)</f>
        <v>0</v>
      </c>
      <c r="C675" s="49" t="str">
        <f>_xlfn.IFS($C$7="Minimaalinen","–",$C$7="Taskukokoinen","–",$C$7="Hyvin pieni","–",$C$7="Pieni","1",$C$7="Keskikokoinen","1n2",$C$7="Iso","1n3",$C$7="Valtava","1n4",$C$7="Suunnaton","1n6",$C$7="Giganttinen","1n8")</f>
        <v>1n2</v>
      </c>
      <c r="D675" s="51">
        <f>SUM($I$2+$C$120)+I675+$M$77+IF(I677="x",2)+IF(K677="x",2)+IF($M$119="x",2)+IF($M$108="x",1)+$M$94-IF($M$109="x",1)+K675+IF(H679="x",1)</f>
        <v>0</v>
      </c>
      <c r="E675" s="49" t="str">
        <f>_xlfn.IFS($C$7="Minimaalinen","–",$C$7="Taskukokoinen","–",$C$7="Hyvin pieni","–",$C$7="Pieni","2",$C$7="Keskikokoinen","2n2",$C$7="Iso","2n3",$C$7="Valtava","2n4",$C$7="Suunnaton","2n6",$C$7="Giganttinen","2n8")</f>
        <v>2n2</v>
      </c>
      <c r="F675" s="82">
        <f>SUM(D675*2)</f>
        <v>0</v>
      </c>
      <c r="G675" s="82" t="str">
        <f>(IF($I$89="x","50 %","")&amp;(IF($C$81="x","20 %",""))&amp;(IF($C$82="x","50 %","")))</f>
        <v/>
      </c>
      <c r="H675" s="28"/>
      <c r="I675" s="17">
        <v>0</v>
      </c>
      <c r="J675" s="17">
        <v>0</v>
      </c>
      <c r="K675" s="17">
        <v>0</v>
      </c>
      <c r="AB675" s="62"/>
      <c r="AC675" s="53"/>
      <c r="AD675" s="49"/>
      <c r="AE675" s="51"/>
      <c r="AF675" s="49"/>
      <c r="AG675" s="49"/>
      <c r="AH675" s="49"/>
      <c r="AI675" s="49"/>
      <c r="AJ675" s="49"/>
      <c r="AK675" s="65"/>
      <c r="AL675" s="65"/>
    </row>
    <row r="676" spans="1:38" x14ac:dyDescent="0.2">
      <c r="A676" s="127">
        <f>A675*2</f>
        <v>40</v>
      </c>
      <c r="B676" s="123">
        <f>_xlfn.IFS($I$85="x",
"PAINISSA",
$C$106="",
SUM($C$3,$I$3)+IF(H679="x",1)+$I$16-$B$10+$M$94+IF($C$77="x",2)-IF($C$78="x",4)-IF($I$78="x",1)-IF($I$77="x",2)-IF($I$90="x",2)+IF($I$83="x",2)-IF($C$76="x",4)-$C$112+IF(H675="x",1)+I675+$M$77+IF(H677="x",1)+IF(J677="x",1)+IF($M$76="x",2)+J675+IF($M$85="x",1)+IF($M$113="x",1)+IF($M$120="x",2)+IF($M$119="x",2)+IF($M$105="x",1)+IF($M$110="x",1)+IF($M$111="x",2)+IF($M$112="x",4)+IF($M$108="x",1)-IF($M$109="x",1)-IF($M$99="x",1)+IF($M$90="x",1)-2,
$B$3&lt;6,
SUM($C$3,$I$3)+IF(H679="x",1)+$I$16-$B$10+$M$94+IF($C$77="x",2)-IF($C$78="x",4)-IF($I$78="x",1)-IF($I$77="x",2)-IF($I$90="x",2)+IF($I$83="x",2)-IF($C$76="x",4)-$C$112+IF(H675="x",1)+I675+$M$77+IF(H677="x",1)+IF(J677="x",1)+IF($M$76="x",2)+J675+IF($M$85="x",1)+IF($M$113="x",1)+IF($M$120="x",2)+IF($M$119="x",2)+IF($M$105="x",1)+IF($M$110="x",1)+IF($M$111="x",2)+IF($M$112="x",4)+IF($M$108="x",1)-IF($M$109="x",1)-IF($M$99="x",1)+IF($M$90="x",1)-2,
$B$3&lt;11,
SUM($C$3,$I$3)+IF(H679="x",1)+$I$16-$B$10+$M$94+IF($C$77="x",2)-IF($C$78="x",4)-IF($I$78="x",1)-IF($I$77="x",2)-IF($I$90="x",2)+IF($I$83="x",2)-IF($C$76="x",4)-$C$112+IF(H675="x",1)+I675+$M$77+IF(H677="x",1)+IF(J677="x",1)+IF($M$76="x",2)+J675+IF($M$85="x",1)+IF($M$113="x",1)+IF($M$120="x",2)+IF($M$119="x",2)+IF($M$105="x",1)+IF($M$110="x",1)+IF($M$111="x",2)+IF($M$112="x",4)+IF($M$108="x",1)-IF($M$109="x",1)-IF($M$99="x",1)+IF($M$90="x",1)-2
&amp;"/"&amp;SUM($C$3,$I$3)+IF(H679="x",1)+$I$16-$B$10+$M$94+IF($C$77="x",2)-IF($C$78="x",4)-IF($I$78="x",1)-IF($I$77="x",2)-IF($I$90="x",2)+IF($I$83="x",2)-IF($C$76="x",4)-$C$112+IF(H675="x",1)+I675+$M$77+IF(H677="x",1)+IF(J677="x",1)+IF($M$76="x",2)+J675+IF($M$85="x",1)+IF($M$113="x",1)+IF($M$120="x",2)+IF($M$119="x",2)+IF($M$105="x",1)+IF($M$110="x",1)+IF($M$111="x",2)+IF($M$112="x",4)+IF($M$108="x",1)-IF($M$109="x",1)-IF($M$99="x",1)+IF($M$90="x",1)-5-2,
$B$3&lt;16,
SUM($C$3,$I$3)+IF(H679="x",1)+$I$16-$B$10+$M$94+IF($C$77="x",2)-IF($C$78="x",4)-IF($I$78="x",1)-IF($I$77="x",2)-IF($I$90="x",2)+IF($I$83="x",2)-IF($C$76="x",4)-$C$112+IF(H675="x",1)+I675+$M$77+IF(H677="x",1)+IF(J677="x",1)+IF($M$76="x",2)+J675+IF($M$85="x",1)+IF($M$113="x",1)+IF($M$120="x",2)+IF($M$119="x",2)+IF($M$105="x",1)+IF($M$110="x",1)+IF($M$111="x",2)+IF($M$112="x",4)+IF($M$108="x",1)-IF($M$109="x",1)-IF($M$99="x",1)+IF($M$90="x",1)-2
&amp;"/"&amp;SUM($C$3,$I$3)+IF(H679="x",1)+$I$16-$B$10+$M$94+IF($C$77="x",2)-IF($C$78="x",4)-IF($I$78="x",1)-IF($I$77="x",2)-IF($I$90="x",2)+IF($I$83="x",2)-IF($C$76="x",4)-$C$112+IF(H675="x",1)+I675+$M$77+IF(H677="x",1)+IF(J677="x",1)+IF($M$76="x",2)+J675+IF($M$85="x",1)+IF($M$113="x",1)+IF($M$120="x",2)+IF($M$119="x",2)+IF($M$105="x",1)+IF($M$110="x",1)+IF($M$111="x",2)+IF($M$112="x",4)+IF($M$108="x",1)-IF($M$109="x",1)-IF($M$99="x",1)+IF($M$90="x",1)-5-2
&amp;"/"&amp;SUM($C$3,$I$3)+IF(H679="x",1)+$I$16-$B$10+$M$94+IF($C$77="x",2)-IF($C$78="x",4)-IF($I$78="x",1)-IF($I$77="x",2)-IF($I$90="x",2)+IF($I$83="x",2)-IF($C$76="x",4)-$C$112+IF(H675="x",1)+I675+$M$77+IF(H677="x",1)+IF(J677="x",1)+IF($M$76="x",2)+J675+IF($M$85="x",1)+IF($M$113="x",1)+IF($M$120="x",2)+IF($M$119="x",2)+IF($M$105="x",1)+IF($M$110="x",1)+IF($M$111="x",2)+IF($M$112="x",4)+IF($M$108="x",1)-IF($M$109="x",1)-IF($M$99="x",1)+IF($M$90="x",1)-10-2,
$B$3&gt;=16,
SUM($C$3,$I$3)+IF(H679="x",1)+$I$16-$B$10+$M$94+IF($C$77="x",2)-IF($C$78="x",4)-IF($I$78="x",1)-IF($I$77="x",2)-IF($I$90="x",2)+IF($I$83="x",2)-IF($C$76="x",4)-$C$112+IF(H675="x",1)+I675+$M$77+IF(H677="x",1)+IF(J677="x",1)+IF($M$76="x",2)+J675+IF($M$85="x",1)+IF($M$113="x",1)+IF($M$120="x",2)+IF($M$119="x",2)+IF($M$105="x",1)+IF($M$110="x",1)+IF($M$111="x",2)+IF($M$112="x",4)+IF($M$108="x",1)-IF($M$109="x",1)-IF($M$99="x",1)+IF($M$90="x",1)-2
&amp;"/"&amp;SUM($C$3,$I$3)+IF(H679="x",1)+$I$16-$B$10+$M$94+IF($C$77="x",2)-IF($C$78="x",4)-IF($I$78="x",1)-IF($I$77="x",2)-IF($I$90="x",2)+IF($I$83="x",2)-IF($C$76="x",4)-$C$112+IF(H675="x",1)+I675+$M$77+IF(H677="x",1)+IF(J677="x",1)+IF($M$76="x",2)+J675+IF($M$85="x",1)+IF($M$113="x",1)+IF($M$120="x",2)+IF($M$119="x",2)+IF($M$105="x",1)+IF($M$110="x",1)+IF($M$111="x",2)+IF($M$112="x",4)+IF($M$108="x",1)-IF($M$109="x",1)-IF($M$99="x",1)+IF($M$90="x",1)-5-2
&amp;"/"&amp;SUM($C$3,$I$3)+IF(H679="x",1)+$I$16-$B$10+$M$94+IF($C$77="x",2)-IF($C$78="x",4)-IF($I$78="x",1)-IF($I$77="x",2)-IF($I$90="x",2)+IF($I$83="x",2)-IF($C$76="x",4)-$C$112+IF(H675="x",1)+I675+$M$77+IF(H677="x",1)+IF(J677="x",1)+IF($M$76="x",2)+J675+IF($M$85="x",1)+IF($M$113="x",1)+IF($M$120="x",2)+IF($M$119="x",2)+IF($M$105="x",1)+IF($M$110="x",1)+IF($M$111="x",2)+IF($M$112="x",4)+IF($M$108="x",1)-IF($M$109="x",1)-IF($M$99="x",1)+IF($M$90="x",1)-10-2
&amp;"/"&amp;SUM($C$3,$I$3)+IF(H679="x",1)+$I$16-$B$10+$M$94+IF($C$77="x",2)-IF($C$78="x",4)-IF($I$78="x",1)-IF($I$77="x",2)-IF($I$90="x",2)+IF($I$83="x",2)-IF($C$76="x",4)-$C$112+IF(H675="x",1)+I675+$M$77+IF(H677="x",1)+IF(J677="x",1)+IF($M$76="x",2)+J675+IF($M$85="x",1)+IF($M$113="x",1)+IF($M$120="x",2)+IF($M$119="x",2)+IF($M$105="x",1)+IF($M$110="x",1)+IF($M$111="x",2)+IF($M$112="x",4)+IF($M$108="x",1)-IF($M$109="x",1)-IF($M$99="x",1)+IF($M$90="x",1)-15-2)</f>
        <v>-2</v>
      </c>
      <c r="C676" s="82"/>
      <c r="D676" s="121"/>
      <c r="E676" s="82"/>
      <c r="F676" s="82"/>
      <c r="G676" s="123" t="str">
        <f>(IF($I$89="x","50 %","")&amp;(IF($C$81="x","20 %",""))&amp;(IF($C$82="x","50 %","")))</f>
        <v/>
      </c>
      <c r="H676" s="14" t="s">
        <v>220</v>
      </c>
      <c r="I676" s="14" t="s">
        <v>221</v>
      </c>
      <c r="J676" s="14" t="s">
        <v>222</v>
      </c>
      <c r="K676" s="14" t="s">
        <v>223</v>
      </c>
      <c r="AB676" s="59"/>
      <c r="AC676" s="51"/>
      <c r="AD676" s="49"/>
      <c r="AE676" s="51"/>
      <c r="AF676" s="49"/>
      <c r="AG676" s="49"/>
      <c r="AH676" s="49"/>
      <c r="AI676" s="49"/>
      <c r="AJ676" s="67"/>
    </row>
    <row r="677" spans="1:38" x14ac:dyDescent="0.2">
      <c r="A677" s="126">
        <f>A675*3</f>
        <v>60</v>
      </c>
      <c r="B677" s="121">
        <f>_xlfn.IFS($I$85="x",
"PAINISSA",
$C$106="",
SUM($C$3,$I$3)+IF(H679="x",1)+$I$16-$B$10+$M$94+IF($C$77="x",2)-IF($C$78="x",4)-IF($I$78="x",1)-IF($I$77="x",2)-IF($I$90="x",2)+IF($I$83="x",2)-IF($C$76="x",4)-$C$112+IF(H675="x",1)+I675+$M$77+IF(H677="x",1)+IF(J677="x",1)+IF($M$76="x",2)+J675+IF($M$85="x",1)+IF($M$113="x",1)+IF($M$120="x",2)+IF($M$119="x",2)+IF($M$105="x",1)+IF($M$110="x",1)+IF($M$111="x",2)+IF($M$112="x",4)+IF($M$108="x",1)-IF($M$109="x",1)-IF($M$99="x",1)+IF($M$90="x",1)-4,
$B$3&lt;6,
SUM($C$3,$I$3)+IF(H679="x",1)+$I$16-$B$10+$M$94+IF($C$77="x",2)-IF($C$78="x",4)-IF($I$78="x",1)-IF($I$77="x",2)-IF($I$90="x",2)+IF($I$83="x",2)-IF($C$76="x",4)-$C$112+IF(H675="x",1)+I675+$M$77+IF(H677="x",1)+IF(J677="x",1)+IF($M$76="x",2)+J675+IF($M$85="x",1)+IF($M$113="x",1)+IF($M$120="x",2)+IF($M$119="x",2)+IF($M$105="x",1)+IF($M$110="x",1)+IF($M$111="x",2)+IF($M$112="x",4)+IF($M$108="x",1)-IF($M$109="x",1)-IF($M$99="x",1)+IF($M$90="x",1)-4,
$B$3&lt;11,
SUM($C$3,$I$3)+IF(H679="x",1)+$I$16-$B$10+$M$94+IF($C$77="x",2)-IF($C$78="x",4)-IF($I$78="x",1)-IF($I$77="x",2)-IF($I$90="x",2)+IF($I$83="x",2)-IF($C$76="x",4)-$C$112+IF(H675="x",1)+I675+$M$77+IF(H677="x",1)+IF(J677="x",1)+IF($M$76="x",2)+J675+IF($M$85="x",1)+IF($M$113="x",1)+IF($M$120="x",2)+IF($M$119="x",2)+IF($M$105="x",1)+IF($M$110="x",1)+IF($M$111="x",2)+IF($M$112="x",4)+IF($M$108="x",1)-IF($M$109="x",1)-IF($M$99="x",1)+IF($M$90="x",1)-4
&amp;"/"&amp;SUM($C$3,$I$3)+IF(H679="x",1)+$I$16-$B$10+$M$94+IF($C$77="x",2)-IF($C$78="x",4)-IF($I$78="x",1)-IF($I$77="x",2)-IF($I$90="x",2)+IF($I$83="x",2)-IF($C$76="x",4)-$C$112+IF(H675="x",1)+I675+$M$77+IF(H677="x",1)+IF(J677="x",1)+IF($M$76="x",2)+J675+IF($M$85="x",1)+IF($M$113="x",1)+IF($M$120="x",2)+IF($M$119="x",2)+IF($M$105="x",1)+IF($M$110="x",1)+IF($M$111="x",2)+IF($M$112="x",4)+IF($M$108="x",1)-IF($M$109="x",1)-IF($M$99="x",1)+IF($M$90="x",1)-5-4,
$B$3&lt;16,
SUM($C$3,$I$3)+IF(H679="x",1)+$I$16-$B$10+$M$94+IF($C$77="x",2)-IF($C$78="x",4)-IF($I$78="x",1)-IF($I$77="x",2)-IF($I$90="x",2)+IF($I$83="x",2)-IF($C$76="x",4)-$C$112+IF(H675="x",1)+I675+$M$77+IF(H677="x",1)+IF(J677="x",1)+IF($M$76="x",2)+J675+IF($M$85="x",1)+IF($M$113="x",1)+IF($M$120="x",2)+IF($M$119="x",2)+IF($M$105="x",1)+IF($M$110="x",1)+IF($M$111="x",2)+IF($M$112="x",4)+IF($M$108="x",1)-IF($M$109="x",1)-IF($M$99="x",1)+IF($M$90="x",1)-4
&amp;"/"&amp;SUM($C$3,$I$3)+IF(H679="x",1)+$I$16-$B$10+$M$94+IF($C$77="x",2)-IF($C$78="x",4)-IF($I$78="x",1)-IF($I$77="x",2)-IF($I$90="x",2)+IF($I$83="x",2)-IF($C$76="x",4)-$C$112+IF(H675="x",1)+I675+$M$77+IF(H677="x",1)+IF(J677="x",1)+IF($M$76="x",2)+J675+IF($M$85="x",1)+IF($M$113="x",1)+IF($M$120="x",2)+IF($M$119="x",2)+IF($M$105="x",1)+IF($M$110="x",1)+IF($M$111="x",2)+IF($M$112="x",4)+IF($M$108="x",1)-IF($M$109="x",1)-IF($M$99="x",1)+IF($M$90="x",1)-5-4
&amp;"/"&amp;SUM($C$3,$I$3)+IF(H679="x",1)+$I$16-$B$10+$M$94+IF($C$77="x",2)-IF($C$78="x",4)-IF($I$78="x",1)-IF($I$77="x",2)-IF($I$90="x",2)+IF($I$83="x",2)-IF($C$76="x",4)-$C$112+IF(H675="x",1)+I675+$M$77+IF(H677="x",1)+IF(J677="x",1)+IF($M$76="x",2)+J675+IF($M$85="x",1)+IF($M$113="x",1)+IF($M$120="x",2)+IF($M$119="x",2)+IF($M$105="x",1)+IF($M$110="x",1)+IF($M$111="x",2)+IF($M$112="x",4)+IF($M$108="x",1)-IF($M$109="x",1)-IF($M$99="x",1)+IF($M$90="x",1)-10-4,
$B$3&gt;=16,
SUM($C$3,$I$3)+IF(H679="x",1)+$I$16-$B$10+$M$94+IF($C$77="x",2)-IF($C$78="x",4)-IF($I$78="x",1)-IF($I$77="x",2)-IF($I$90="x",2)+IF($I$83="x",2)-IF($C$76="x",4)-$C$112+IF(H675="x",1)+I675+$M$77+IF(H677="x",1)+IF(J677="x",1)+IF($M$76="x",2)+J675+IF($M$85="x",1)+IF($M$113="x",1)+IF($M$120="x",2)+IF($M$119="x",2)+IF($M$105="x",1)+IF($M$110="x",1)+IF($M$111="x",2)+IF($M$112="x",4)+IF($M$108="x",1)-IF($M$109="x",1)-IF($M$99="x",1)+IF($M$90="x",1)-4
&amp;"/"&amp;SUM($C$3,$I$3)+IF(H679="x",1)+$I$16-$B$10+$M$94+IF($C$77="x",2)-IF($C$78="x",4)-IF($I$78="x",1)-IF($I$77="x",2)-IF($I$90="x",2)+IF($I$83="x",2)-IF($C$76="x",4)-$C$112+IF(H675="x",1)+I675+$M$77+IF(H677="x",1)+IF(J677="x",1)+IF($M$76="x",2)+J675+IF($M$85="x",1)+IF($M$113="x",1)+IF($M$120="x",2)+IF($M$119="x",2)+IF($M$105="x",1)+IF($M$110="x",1)+IF($M$111="x",2)+IF($M$112="x",4)+IF($M$108="x",1)-IF($M$109="x",1)-IF($M$99="x",1)+IF($M$90="x",1)-5-4
&amp;"/"&amp;SUM($C$3,$I$3)+IF(H679="x",1)+$I$16-$B$10+$M$94+IF($C$77="x",2)-IF($C$78="x",4)-IF($I$78="x",1)-IF($I$77="x",2)-IF($I$90="x",2)+IF($I$83="x",2)-IF($C$76="x",4)-$C$112+IF(H675="x",1)+I675+$M$77+IF(H677="x",1)+IF(J677="x",1)+IF($M$76="x",2)+J675+IF($M$85="x",1)+IF($M$113="x",1)+IF($M$120="x",2)+IF($M$119="x",2)+IF($M$105="x",1)+IF($M$110="x",1)+IF($M$111="x",2)+IF($M$112="x",4)+IF($M$108="x",1)-IF($M$109="x",1)-IF($M$99="x",1)+IF($M$90="x",1)-10-4
&amp;"/"&amp;SUM($C$3,$I$3)+IF(H679="x",1)+$I$16-$B$10+$M$94+IF($C$77="x",2)-IF($C$78="x",4)-IF($I$78="x",1)-IF($I$77="x",2)-IF($I$90="x",2)+IF($I$83="x",2)-IF($C$76="x",4)-$C$112+IF(H675="x",1)+I675+$M$77+IF(H677="x",1)+IF(J677="x",1)+IF($M$76="x",2)+J675+IF($M$85="x",1)+IF($M$113="x",1)+IF($M$120="x",2)+IF($M$119="x",2)+IF($M$105="x",1)+IF($M$110="x",1)+IF($M$111="x",2)+IF($M$112="x",4)+IF($M$108="x",1)-IF($M$109="x",1)-IF($M$99="x",1)+IF($M$90="x",1)-15-4)</f>
        <v>-4</v>
      </c>
      <c r="C677" s="82"/>
      <c r="D677" s="121"/>
      <c r="E677" s="82"/>
      <c r="F677" s="82"/>
      <c r="G677" s="82" t="str">
        <f>(IF($I$89="x","50 %","")&amp;(IF($C$81="x","20 %",""))&amp;(IF($C$82="x","50 %","")))</f>
        <v/>
      </c>
      <c r="H677" s="28"/>
      <c r="I677" s="28"/>
      <c r="J677" s="28"/>
      <c r="K677" s="28"/>
      <c r="AB677" s="62"/>
      <c r="AC677" s="53"/>
      <c r="AD677" s="49"/>
      <c r="AE677" s="51"/>
      <c r="AF677" s="49"/>
      <c r="AG677" s="40"/>
      <c r="AH677" s="40"/>
      <c r="AI677" s="40"/>
      <c r="AJ677" s="67"/>
      <c r="AK677" s="50"/>
      <c r="AL677" s="50"/>
    </row>
    <row r="678" spans="1:38" x14ac:dyDescent="0.2">
      <c r="A678" s="127">
        <f>A675*4</f>
        <v>80</v>
      </c>
      <c r="B678" s="123">
        <f>_xlfn.IFS($I$85="x",
"PAINISSA",
$C$106="",
SUM($C$3,$I$3)+IF(H679="x",1)+$I$16-$B$10+$M$94+IF($C$77="x",2)-IF($C$78="x",4)-IF($I$78="x",1)-IF($I$77="x",2)-IF($I$90="x",2)+IF($I$83="x",2)-IF($C$76="x",4)-$C$112+IF(H675="x",1)+I675+$M$77+IF(H677="x",1)+IF(J677="x",1)+IF($M$76="x",2)+J675+IF($M$85="x",1)+IF($M$113="x",1)+IF($M$120="x",2)+IF($M$119="x",2)+IF($M$105="x",1)+IF($M$110="x",1)+IF($M$111="x",2)+IF($M$112="x",4)+IF($M$108="x",1)-IF($M$109="x",1)-IF($M$99="x",1)+IF($M$90="x",1)-6,
$B$3&lt;6,
SUM($C$3,$I$3)+IF(H679="x",1)+$I$16-$B$10+$M$94+IF($C$77="x",2)-IF($C$78="x",4)-IF($I$78="x",1)-IF($I$77="x",2)-IF($I$90="x",2)+IF($I$83="x",2)-IF($C$76="x",4)-$C$112+IF(H675="x",1)+I675+$M$77+IF(H677="x",1)+IF(J677="x",1)+IF($M$76="x",2)+J675+IF($M$85="x",1)+IF($M$113="x",1)+IF($M$120="x",2)+IF($M$119="x",2)+IF($M$105="x",1)+IF($M$110="x",1)+IF($M$111="x",2)+IF($M$112="x",4)+IF($M$108="x",1)-IF($M$109="x",1)-IF($M$99="x",1)+IF($M$90="x",1)-6,
$B$3&lt;11,
SUM($C$3,$I$3)+IF(H679="x",1)+$I$16-$B$10+$M$94+IF($C$77="x",2)-IF($C$78="x",4)-IF($I$78="x",1)-IF($I$77="x",2)-IF($I$90="x",2)+IF($I$83="x",2)-IF($C$76="x",4)-$C$112+IF(H675="x",1)+I675+$M$77+IF(H677="x",1)+IF(J677="x",1)+IF($M$76="x",2)+J675+IF($M$85="x",1)+IF($M$113="x",1)+IF($M$120="x",2)+IF($M$119="x",2)+IF($M$105="x",1)+IF($M$110="x",1)+IF($M$111="x",2)+IF($M$112="x",4)+IF($M$108="x",1)-IF($M$109="x",1)-IF($M$99="x",1)+IF($M$90="x",1)-6
&amp;"/"&amp;SUM($C$3,$I$3)+IF(H679="x",1)+$I$16-$B$10+$M$94+IF($C$77="x",2)-IF($C$78="x",4)-IF($I$78="x",1)-IF($I$77="x",2)-IF($I$90="x",2)+IF($I$83="x",2)-IF($C$76="x",4)-$C$112+IF(H675="x",1)+I675+$M$77+IF(H677="x",1)+IF(J677="x",1)+IF($M$76="x",2)+J675+IF($M$85="x",1)+IF($M$113="x",1)+IF($M$120="x",2)+IF($M$119="x",2)+IF($M$105="x",1)+IF($M$110="x",1)+IF($M$111="x",2)+IF($M$112="x",4)+IF($M$108="x",1)-IF($M$109="x",1)-IF($M$99="x",1)+IF($M$90="x",1)-5-6,
$B$3&lt;16,
SUM($C$3,$I$3)+IF(H679="x",1)+$I$16-$B$10+$M$94+IF($C$77="x",2)-IF($C$78="x",4)-IF($I$78="x",1)-IF($I$77="x",2)-IF($I$90="x",2)+IF($I$83="x",2)-IF($C$76="x",4)-$C$112+IF(H675="x",1)+I675+$M$77+IF(H677="x",1)+IF(J677="x",1)+IF($M$76="x",2)+J675+IF($M$85="x",1)+IF($M$113="x",1)+IF($M$120="x",2)+IF($M$119="x",2)+IF($M$105="x",1)+IF($M$110="x",1)+IF($M$111="x",2)+IF($M$112="x",4)+IF($M$108="x",1)-IF($M$109="x",1)-IF($M$99="x",1)+IF($M$90="x",1)-6
&amp;"/"&amp;SUM($C$3,$I$3)+IF(H679="x",1)+$I$16-$B$10+$M$94+IF($C$77="x",2)-IF($C$78="x",4)-IF($I$78="x",1)-IF($I$77="x",2)-IF($I$90="x",2)+IF($I$83="x",2)-IF($C$76="x",4)-$C$112+IF(H675="x",1)+I675+$M$77+IF(H677="x",1)+IF(J677="x",1)+IF($M$76="x",2)+J675+IF($M$85="x",1)+IF($M$113="x",1)+IF($M$120="x",2)+IF($M$119="x",2)+IF($M$105="x",1)+IF($M$110="x",1)+IF($M$111="x",2)+IF($M$112="x",4)+IF($M$108="x",1)-IF($M$109="x",1)-IF($M$99="x",1)+IF($M$90="x",1)-5-6
&amp;"/"&amp;SUM($C$3,$I$3)+IF(H679="x",1)+$I$16-$B$10+$M$94+IF($C$77="x",2)-IF($C$78="x",4)-IF($I$78="x",1)-IF($I$77="x",2)-IF($I$90="x",2)+IF($I$83="x",2)-IF($C$76="x",4)-$C$112+IF(H675="x",1)+I675+$M$77+IF(H677="x",1)+IF(J677="x",1)+IF($M$76="x",2)+J675+IF($M$85="x",1)+IF($M$113="x",1)+IF($M$120="x",2)+IF($M$119="x",2)+IF($M$105="x",1)+IF($M$110="x",1)+IF($M$111="x",2)+IF($M$112="x",4)+IF($M$108="x",1)-IF($M$109="x",1)-IF($M$99="x",1)+IF($M$90="x",1)-10-6,
$B$3&gt;=16,
SUM($C$3,$I$3)+IF(H679="x",1)+$I$16-$B$10+$M$94+IF($C$77="x",2)-IF($C$78="x",4)-IF($I$78="x",1)-IF($I$77="x",2)-IF($I$90="x",2)+IF($I$83="x",2)-IF($C$76="x",4)-$C$112+IF(H675="x",1)+I675+$M$77+IF(H677="x",1)+IF(J677="x",1)+IF($M$76="x",2)+J675+IF($M$85="x",1)+IF($M$113="x",1)+IF($M$120="x",2)+IF($M$119="x",2)+IF($M$105="x",1)+IF($M$110="x",1)+IF($M$111="x",2)+IF($M$112="x",4)+IF($M$108="x",1)-IF($M$109="x",1)-IF($M$99="x",1)+IF($M$90="x",1)-6
&amp;"/"&amp;SUM($C$3,$I$3)+IF(H679="x",1)+$I$16-$B$10+$M$94+IF($C$77="x",2)-IF($C$78="x",4)-IF($I$78="x",1)-IF($I$77="x",2)-IF($I$90="x",2)+IF($I$83="x",2)-IF($C$76="x",4)-$C$112+IF(H675="x",1)+I675+$M$77+IF(H677="x",1)+IF(J677="x",1)+IF($M$76="x",2)+J675+IF($M$85="x",1)+IF($M$113="x",1)+IF($M$120="x",2)+IF($M$119="x",2)+IF($M$105="x",1)+IF($M$110="x",1)+IF($M$111="x",2)+IF($M$112="x",4)+IF($M$108="x",1)-IF($M$109="x",1)-IF($M$99="x",1)+IF($M$90="x",1)-5-6
&amp;"/"&amp;SUM($C$3,$I$3)+IF(H679="x",1)+$I$16-$B$10+$M$94+IF($C$77="x",2)-IF($C$78="x",4)-IF($I$78="x",1)-IF($I$77="x",2)-IF($I$90="x",2)+IF($I$83="x",2)-IF($C$76="x",4)-$C$112+IF(H675="x",1)+I675+$M$77+IF(H677="x",1)+IF(J677="x",1)+IF($M$76="x",2)+J675+IF($M$85="x",1)+IF($M$113="x",1)+IF($M$120="x",2)+IF($M$119="x",2)+IF($M$105="x",1)+IF($M$110="x",1)+IF($M$111="x",2)+IF($M$112="x",4)+IF($M$108="x",1)-IF($M$109="x",1)-IF($M$99="x",1)+IF($M$90="x",1)-10-6
&amp;"/"&amp;SUM($C$3,$I$3)+IF(H679="x",1)+$I$16-$B$10+$M$94+IF($C$77="x",2)-IF($C$78="x",4)-IF($I$78="x",1)-IF($I$77="x",2)-IF($I$90="x",2)+IF($I$83="x",2)-IF($C$76="x",4)-$C$112+IF(H675="x",1)+I675+$M$77+IF(H677="x",1)+IF(J677="x",1)+IF($M$76="x",2)+J675+IF($M$85="x",1)+IF($M$113="x",1)+IF($M$120="x",2)+IF($M$119="x",2)+IF($M$105="x",1)+IF($M$110="x",1)+IF($M$111="x",2)+IF($M$112="x",4)+IF($M$108="x",1)-IF($M$109="x",1)-IF($M$99="x",1)+IF($M$90="x",1)-15-6)</f>
        <v>-6</v>
      </c>
      <c r="C678" s="82"/>
      <c r="D678" s="121"/>
      <c r="E678" s="82"/>
      <c r="F678" s="82"/>
      <c r="G678" s="123" t="str">
        <f>(IF($I$89="x","50 %","")&amp;(IF($C$81="x","20 %",""))&amp;(IF($C$82="x","50 %","")))</f>
        <v/>
      </c>
      <c r="H678" s="14" t="s">
        <v>182</v>
      </c>
      <c r="I678" s="15"/>
    </row>
    <row r="679" spans="1:38" x14ac:dyDescent="0.2">
      <c r="A679" s="126">
        <f>A675*5</f>
        <v>100</v>
      </c>
      <c r="B679" s="121">
        <f>_xlfn.IFS($I$85="x",
"PAINISSA",
$C$106="",
SUM($C$3,$I$3)+IF(H679="x",1)+$I$16-$B$10+$M$94+IF($C$77="x",2)-IF($C$78="x",4)-IF($I$78="x",1)-IF($I$77="x",2)-IF($I$90="x",2)+IF($I$83="x",2)-IF($C$76="x",4)-$C$112+IF(H675="x",1)+I675+$M$77+IF(H677="x",1)+IF(J677="x",1)+IF($M$76="x",2)+J675+IF($M$85="x",1)+IF($M$113="x",1)+IF($M$120="x",2)+IF($M$119="x",2)+IF($M$105="x",1)+IF($M$110="x",1)+IF($M$111="x",2)+IF($M$112="x",4)+IF($M$108="x",1)-IF($M$109="x",1)-IF($M$99="x",1)+IF($M$90="x",1)-8,
$B$3&lt;6,
SUM($C$3,$I$3)+IF(H679="x",1)+$I$16-$B$10+$M$94+IF($C$77="x",2)-IF($C$78="x",4)-IF($I$78="x",1)-IF($I$77="x",2)-IF($I$90="x",2)+IF($I$83="x",2)-IF($C$76="x",4)-$C$112+IF(H675="x",1)+I675+$M$77+IF(H677="x",1)+IF(J677="x",1)+IF($M$76="x",2)+J675+IF($M$85="x",1)+IF($M$113="x",1)+IF($M$120="x",2)+IF($M$119="x",2)+IF($M$105="x",1)+IF($M$110="x",1)+IF($M$111="x",2)+IF($M$112="x",4)+IF($M$108="x",1)-IF($M$109="x",1)-IF($M$99="x",1)+IF($M$90="x",1)-8,
$B$3&lt;11,
SUM($C$3,$I$3)+IF(H679="x",1)+$I$16-$B$10+$M$94+IF($C$77="x",2)-IF($C$78="x",4)-IF($I$78="x",1)-IF($I$77="x",2)-IF($I$90="x",2)+IF($I$83="x",2)-IF($C$76="x",4)-$C$112+IF(H675="x",1)+I675+$M$77+IF(H677="x",1)+IF(J677="x",1)+IF($M$76="x",2)+J675+IF($M$85="x",1)+IF($M$113="x",1)+IF($M$120="x",2)+IF($M$119="x",2)+IF($M$105="x",1)+IF($M$110="x",1)+IF($M$111="x",2)+IF($M$112="x",4)+IF($M$108="x",1)-IF($M$109="x",1)-IF($M$99="x",1)+IF($M$90="x",1)-8
&amp;"/"&amp;SUM($C$3,$I$3)+IF(H679="x",1)+$I$16-$B$10+$M$94+IF($C$77="x",2)-IF($C$78="x",4)-IF($I$78="x",1)-IF($I$77="x",2)-IF($I$90="x",2)+IF($I$83="x",2)-IF($C$76="x",4)-$C$112+IF(H675="x",1)+I675+$M$77+IF(H677="x",1)+IF(J677="x",1)+IF($M$76="x",2)+J675+IF($M$85="x",1)+IF($M$113="x",1)+IF($M$120="x",2)+IF($M$119="x",2)+IF($M$105="x",1)+IF($M$110="x",1)+IF($M$111="x",2)+IF($M$112="x",4)+IF($M$108="x",1)-IF($M$109="x",1)-IF($M$99="x",1)+IF($M$90="x",1)-5-8,
$B$3&lt;16,
SUM($C$3,$I$3)+IF(H679="x",1)+$I$16-$B$10+$M$94+IF($C$77="x",2)-IF($C$78="x",4)-IF($I$78="x",1)-IF($I$77="x",2)-IF($I$90="x",2)+IF($I$83="x",2)-IF($C$76="x",4)-$C$112+IF(H675="x",1)+I675+$M$77+IF(H677="x",1)+IF(J677="x",1)+IF($M$76="x",2)+J675+IF($M$85="x",1)+IF($M$113="x",1)+IF($M$120="x",2)+IF($M$119="x",2)+IF($M$105="x",1)+IF($M$110="x",1)+IF($M$111="x",2)+IF($M$112="x",4)+IF($M$108="x",1)-IF($M$109="x",1)-IF($M$99="x",1)+IF($M$90="x",1)-8
&amp;"/"&amp;SUM($C$3,$I$3)+IF(H679="x",1)+$I$16-$B$10+$M$94+IF($C$77="x",2)-IF($C$78="x",4)-IF($I$78="x",1)-IF($I$77="x",2)-IF($I$90="x",2)+IF($I$83="x",2)-IF($C$76="x",4)-$C$112+IF(H675="x",1)+I675+$M$77+IF(H677="x",1)+IF(J677="x",1)+IF($M$76="x",2)+J675+IF($M$85="x",1)+IF($M$113="x",1)+IF($M$120="x",2)+IF($M$119="x",2)+IF($M$105="x",1)+IF($M$110="x",1)+IF($M$111="x",2)+IF($M$112="x",4)+IF($M$108="x",1)-IF($M$109="x",1)-IF($M$99="x",1)+IF($M$90="x",1)-5-8
&amp;"/"&amp;SUM($C$3,$I$3)+IF(H679="x",1)+$I$16-$B$10+$M$94+IF($C$77="x",2)-IF($C$78="x",4)-IF($I$78="x",1)-IF($I$77="x",2)-IF($I$90="x",2)+IF($I$83="x",2)-IF($C$76="x",4)-$C$112+IF(H675="x",1)+I675+$M$77+IF(H677="x",1)+IF(J677="x",1)+IF($M$76="x",2)+J675+IF($M$85="x",1)+IF($M$113="x",1)+IF($M$120="x",2)+IF($M$119="x",2)+IF($M$105="x",1)+IF($M$110="x",1)+IF($M$111="x",2)+IF($M$112="x",4)+IF($M$108="x",1)-IF($M$109="x",1)-IF($M$99="x",1)+IF($M$90="x",1)-10-8,
$B$3&gt;=16,
SUM($C$3,$I$3)+IF(H679="x",1)+$I$16-$B$10+$M$94+IF($C$77="x",2)-IF($C$78="x",4)-IF($I$78="x",1)-IF($I$77="x",2)-IF($I$90="x",2)+IF($I$83="x",2)-IF($C$76="x",4)-$C$112+IF(H675="x",1)+I675+$M$77+IF(H677="x",1)+IF(J677="x",1)+IF($M$76="x",2)+J675+IF($M$85="x",1)+IF($M$113="x",1)+IF($M$120="x",2)+IF($M$119="x",2)+IF($M$105="x",1)+IF($M$110="x",1)+IF($M$111="x",2)+IF($M$112="x",4)+IF($M$108="x",1)-IF($M$109="x",1)-IF($M$99="x",1)+IF($M$90="x",1)-8
&amp;"/"&amp;SUM($C$3,$I$3)+IF(H679="x",1)+$I$16-$B$10+$M$94+IF($C$77="x",2)-IF($C$78="x",4)-IF($I$78="x",1)-IF($I$77="x",2)-IF($I$90="x",2)+IF($I$83="x",2)-IF($C$76="x",4)-$C$112+IF(H675="x",1)+I675+$M$77+IF(H677="x",1)+IF(J677="x",1)+IF($M$76="x",2)+J675+IF($M$85="x",1)+IF($M$113="x",1)+IF($M$120="x",2)+IF($M$119="x",2)+IF($M$105="x",1)+IF($M$110="x",1)+IF($M$111="x",2)+IF($M$112="x",4)+IF($M$108="x",1)-IF($M$109="x",1)-IF($M$99="x",1)+IF($M$90="x",1)-5-8
&amp;"/"&amp;SUM($C$3,$I$3)+IF(H679="x",1)+$I$16-$B$10+$M$94+IF($C$77="x",2)-IF($C$78="x",4)-IF($I$78="x",1)-IF($I$77="x",2)-IF($I$90="x",2)+IF($I$83="x",2)-IF($C$76="x",4)-$C$112+IF(H675="x",1)+I675+$M$77+IF(H677="x",1)+IF(J677="x",1)+IF($M$76="x",2)+J675+IF($M$85="x",1)+IF($M$113="x",1)+IF($M$120="x",2)+IF($M$119="x",2)+IF($M$105="x",1)+IF($M$110="x",1)+IF($M$111="x",2)+IF($M$112="x",4)+IF($M$108="x",1)-IF($M$109="x",1)-IF($M$99="x",1)+IF($M$90="x",1)-10-8
&amp;"/"&amp;SUM($C$3,$I$3)+IF(H679="x",1)+$I$16-$B$10+$M$94+IF($C$77="x",2)-IF($C$78="x",4)-IF($I$78="x",1)-IF($I$77="x",2)-IF($I$90="x",2)+IF($I$83="x",2)-IF($C$76="x",4)-$C$112+IF(H675="x",1)+I675+$M$77+IF(H677="x",1)+IF(J677="x",1)+IF($M$76="x",2)+J675+IF($M$85="x",1)+IF($M$113="x",1)+IF($M$120="x",2)+IF($M$119="x",2)+IF($M$105="x",1)+IF($M$110="x",1)+IF($M$111="x",2)+IF($M$112="x",4)+IF($M$108="x",1)-IF($M$109="x",1)-IF($M$99="x",1)+IF($M$90="x",1)-15-8)</f>
        <v>-8</v>
      </c>
      <c r="C679" s="82"/>
      <c r="D679" s="121"/>
      <c r="E679" s="82"/>
      <c r="F679" s="82"/>
      <c r="G679" s="82" t="str">
        <f>(IF($I$89="x","50 %","")&amp;(IF($C$81="x","20 %",""))&amp;(IF($C$82="x","50 %","")))</f>
        <v/>
      </c>
      <c r="H679" s="28"/>
      <c r="K679" s="82"/>
      <c r="AB679" s="46"/>
      <c r="AC679" s="48"/>
      <c r="AD679" s="48"/>
      <c r="AE679" s="48"/>
      <c r="AF679" s="48"/>
      <c r="AG679" s="48"/>
      <c r="AH679" s="48"/>
      <c r="AI679" s="48"/>
      <c r="AJ679" s="48"/>
      <c r="AK679" s="48"/>
      <c r="AL679" s="48"/>
    </row>
    <row r="680" spans="1:38" x14ac:dyDescent="0.2">
      <c r="B680" s="15"/>
      <c r="C680" s="15"/>
      <c r="D680" s="15"/>
      <c r="F680" s="15"/>
      <c r="G680" s="15"/>
      <c r="H680" s="15"/>
      <c r="I680" s="15"/>
      <c r="AB680" s="46"/>
      <c r="AC680" s="48"/>
      <c r="AD680" s="48"/>
      <c r="AE680" s="48"/>
      <c r="AF680" s="48"/>
      <c r="AG680" s="48"/>
      <c r="AH680" s="48"/>
      <c r="AI680" s="48"/>
      <c r="AJ680" s="48"/>
      <c r="AK680" s="48"/>
      <c r="AL680" s="48"/>
    </row>
    <row r="681" spans="1:38" x14ac:dyDescent="0.2">
      <c r="B681" s="15"/>
      <c r="C681" s="15"/>
      <c r="D681" s="15"/>
      <c r="F681" s="15"/>
      <c r="G681" s="15"/>
      <c r="H681" s="15"/>
      <c r="I681" s="15"/>
      <c r="AB681" s="59"/>
      <c r="AC681" s="51"/>
      <c r="AD681" s="49"/>
      <c r="AE681" s="51"/>
      <c r="AF681" s="49"/>
      <c r="AG681" s="49"/>
      <c r="AH681" s="49"/>
      <c r="AI681" s="40"/>
      <c r="AJ681" s="40"/>
      <c r="AK681" s="40"/>
      <c r="AL681" s="40"/>
    </row>
    <row r="682" spans="1:38" x14ac:dyDescent="0.2">
      <c r="A682" s="34" t="s">
        <v>243</v>
      </c>
      <c r="B682" s="11" t="s">
        <v>1</v>
      </c>
      <c r="C682" s="11" t="s">
        <v>2</v>
      </c>
      <c r="D682" s="11" t="s">
        <v>3</v>
      </c>
      <c r="E682" s="11" t="s">
        <v>229</v>
      </c>
      <c r="F682" s="11" t="s">
        <v>3</v>
      </c>
      <c r="G682" s="11" t="s">
        <v>45</v>
      </c>
      <c r="H682" s="14" t="s">
        <v>179</v>
      </c>
      <c r="I682" s="11" t="s">
        <v>242</v>
      </c>
      <c r="J682" s="11" t="s">
        <v>224</v>
      </c>
      <c r="K682" s="48"/>
      <c r="AB682" s="62"/>
      <c r="AC682" s="53"/>
      <c r="AD682" s="49"/>
      <c r="AE682" s="51"/>
      <c r="AF682" s="49"/>
      <c r="AG682" s="49"/>
      <c r="AH682" s="49"/>
      <c r="AI682" s="48"/>
      <c r="AJ682" s="48"/>
      <c r="AK682" s="48"/>
      <c r="AL682" s="48"/>
    </row>
    <row r="683" spans="1:38" x14ac:dyDescent="0.2">
      <c r="A683" s="126">
        <f>IF($C$98="x",10*1.5,10)</f>
        <v>10</v>
      </c>
      <c r="B683" s="121">
        <f>_xlfn.IFS($I$85="x",
"PAINISSA",
$C$106="",
SUM($C$3,$I$3)+IF(H687="x",1)+$I$16-$B$10+$M$94+IF($C$77="x",2)-IF($C$78="x",4)-IF($I$78="x",1)-IF($I$77="x",2)-IF($I$90="x",2)+IF($I$83="x",2)-IF($C$76="x",4)-$C$112+IF(H683="x",1)+I683+$M$77+IF(H685="x",1)+IF(I685="x",1)+IF($M$76="x",2)+J683+IF($M$85="x",1)+IF($M$113="x",1)+IF($M$120="x",2)+IF($M$119="x",2)+IF($M$105="x",1)+IF($M$110="x",1)+IF($M$111="x",2)+IF($M$112="x",4)+IF($M$108="x",1)-IF($M$109="x",1)-IF($M$99="x",1)+IF($M$90="x",1),
$B$3&lt;6,
SUM($C$3,$I$3)+IF(H687="x",1)+$I$16-$B$10+$M$94+IF($C$77="x",2)-IF($C$78="x",4)-IF($I$78="x",1)-IF($I$77="x",2)-IF($I$90="x",2)+IF($I$83="x",2)-IF($C$76="x",4)-$C$112+IF(H683="x",1)+I683+$M$77+IF(H685="x",1)+IF(I685="x",1)+IF($M$76="x",2)+J683+IF($M$85="x",1)+IF($M$113="x",1)+IF($M$120="x",2)+IF($M$119="x",2)+IF($M$105="x",1)+IF($M$110="x",1)+IF($M$111="x",2)+IF($M$112="x",4)+IF($M$108="x",1)-IF($M$109="x",1)-IF($M$99="x",1)+IF($M$90="x",1),
$B$3&lt;11,
SUM($C$3,$I$3)+IF(H687="x",1)+$I$16-$B$10+$M$94+IF($C$77="x",2)-IF($C$78="x",4)-IF($I$78="x",1)-IF($I$77="x",2)-IF($I$90="x",2)+IF($I$83="x",2)-IF($C$76="x",4)-$C$112+IF(H683="x",1)+I683+$M$77+IF(H685="x",1)+IF(I685="x",1)+IF($M$76="x",2)+J683+IF($M$85="x",1)+IF($M$113="x",1)+IF($M$120="x",2)+IF($M$119="x",2)+IF($M$105="x",1)+IF($M$110="x",1)+IF($M$111="x",2)+IF($M$112="x",4)+IF($M$108="x",1)-IF($M$109="x",1)-IF($M$99="x",1)+IF($M$90="x",1)
&amp;"/"&amp;SUM($C$3,$I$3)+IF(H687="x",1)+$I$16-$B$10+$M$94+IF($C$77="x",2)-IF($C$78="x",4)-IF($I$78="x",1)-IF($I$77="x",2)-IF($I$90="x",2)+IF($I$83="x",2)-IF($C$76="x",4)-$C$112+IF(H683="x",1)+I683+$M$77+IF(H685="x",1)+IF(I685="x",1)+IF($M$76="x",2)+J683+IF($M$85="x",1)+IF($M$113="x",1)+IF($M$120="x",2)+IF($M$119="x",2)+IF($M$105="x",1)+IF($M$110="x",1)+IF($M$111="x",2)+IF($M$112="x",4)+IF($M$108="x",1)-IF($M$109="x",1)-IF($M$99="x",1)+IF($M$90="x",1)-5,
$B$3&lt;16,
SUM($C$3,$I$3)+IF(H687="x",1)+$I$16-$B$10+$M$94+IF($C$77="x",2)-IF($C$78="x",4)-IF($I$78="x",1)-IF($I$77="x",2)-IF($I$90="x",2)+IF($I$83="x",2)-IF($C$76="x",4)-$C$112+IF(H683="x",1)+I683+$M$77+IF(H685="x",1)+IF(I685="x",1)+IF($M$76="x",2)+J683+IF($M$85="x",1)+IF($M$113="x",1)+IF($M$120="x",2)+IF($M$119="x",2)+IF($M$105="x",1)+IF($M$110="x",1)+IF($M$111="x",2)+IF($M$112="x",4)+IF($M$108="x",1)-IF($M$109="x",1)-IF($M$99="x",1)+IF($M$90="x",1)
&amp;"/"&amp;SUM($C$3,$I$3)+IF(H687="x",1)+$I$16-$B$10+$M$94+IF($C$77="x",2)-IF($C$78="x",4)-IF($I$78="x",1)-IF($I$77="x",2)-IF($I$90="x",2)+IF($I$83="x",2)-IF($C$76="x",4)-$C$112+IF(H683="x",1)+I683+$M$77+IF(H685="x",1)+IF(I685="x",1)+IF($M$76="x",2)+J683+IF($M$85="x",1)+IF($M$113="x",1)+IF($M$120="x",2)+IF($M$119="x",2)+IF($M$105="x",1)+IF($M$110="x",1)+IF($M$111="x",2)+IF($M$112="x",4)+IF($M$108="x",1)-IF($M$109="x",1)-IF($M$99="x",1)+IF($M$90="x",1)-5
&amp;"/"&amp;SUM($C$3,$I$3)+IF(H687="x",1)+$I$16-$B$10+$M$94+IF($C$77="x",2)-IF($C$78="x",4)-IF($I$78="x",1)-IF($I$77="x",2)-IF($I$90="x",2)+IF($I$83="x",2)-IF($C$76="x",4)-$C$112+IF(H683="x",1)+I683+$M$77+IF(H685="x",1)+IF(I685="x",1)+IF($M$76="x",2)+J683+IF($M$85="x",1)+IF($M$113="x",1)+IF($M$120="x",2)+IF($M$119="x",2)+IF($M$105="x",1)+IF($M$110="x",1)+IF($M$111="x",2)+IF($M$112="x",4)+IF($M$108="x",1)-IF($M$109="x",1)-IF($M$99="x",1)+IF($M$90="x",1)-10,
$B$3&gt;=16,
SUM($C$3,$I$3)+IF(H687="x",1)+$I$16-$B$10+$M$94+IF($C$77="x",2)-IF($C$78="x",4)-IF($I$78="x",1)-IF($I$77="x",2)-IF($I$90="x",2)+IF($I$83="x",2)-IF($C$76="x",4)-$C$112+IF(H683="x",1)+I683+$M$77+IF(H685="x",1)+IF(I685="x",1)+IF($M$76="x",2)+J683+IF($M$85="x",1)+IF($M$113="x",1)+IF($M$120="x",2)+IF($M$119="x",2)+IF($M$105="x",1)+IF($M$110="x",1)+IF($M$111="x",2)+IF($M$112="x",4)+IF($M$108="x",1)-IF($M$109="x",1)-IF($M$99="x",1)+IF($M$90="x",1)
&amp;"/"&amp;SUM($C$3,$I$3)+IF(H687="x",1)+$I$16-$B$10+$M$94+IF($C$77="x",2)-IF($C$78="x",4)-IF($I$78="x",1)-IF($I$77="x",2)-IF($I$90="x",2)+IF($I$83="x",2)-IF($C$76="x",4)-$C$112+IF(H683="x",1)+I683+$M$77+IF(H685="x",1)+IF(I685="x",1)+IF($M$76="x",2)+J683+IF($M$85="x",1)+IF($M$113="x",1)+IF($M$120="x",2)+IF($M$119="x",2)+IF($M$105="x",1)+IF($M$110="x",1)+IF($M$111="x",2)+IF($M$112="x",4)+IF($M$108="x",1)-IF($M$109="x",1)-IF($M$99="x",1)+IF($M$90="x",1)-5
&amp;"/"&amp;SUM($C$3,$I$3)+IF(H687="x",1)+$I$16-$B$10+$M$94+IF($C$77="x",2)-IF($C$78="x",4)-IF($I$78="x",1)-IF($I$77="x",2)-IF($I$90="x",2)+IF($I$83="x",2)-IF($C$76="x",4)-$C$112+IF(H683="x",1)+I683+$M$77+IF(H685="x",1)+IF(I685="x",1)+IF($M$76="x",2)+J683+IF($M$85="x",1)+IF($M$113="x",1)+IF($M$120="x",2)+IF($M$119="x",2)+IF($M$105="x",1)+IF($M$110="x",1)+IF($M$111="x",2)+IF($M$112="x",4)+IF($M$108="x",1)-IF($M$109="x",1)-IF($M$99="x",1)+IF($M$90="x",1)-10
&amp;"/"&amp;SUM($C$3,$I$3)+IF(H687="x",1)+$I$16-$B$10+$M$94+IF($C$77="x",2)-IF($C$78="x",4)-IF($I$78="x",1)-IF($I$77="x",2)-IF($I$90="x",2)+IF($I$83="x",2)-IF($C$76="x",4)-$C$112+IF(H683="x",1)+I683+$M$77+IF(H685="x",1)+IF(I685="x",1)+IF($M$76="x",2)+J683+IF($M$85="x",1)+IF($M$113="x",1)+IF($M$120="x",2)+IF($M$119="x",2)+IF($M$105="x",1)+IF($M$110="x",1)+IF($M$111="x",2)+IF($M$112="x",4)+IF($M$108="x",1)-IF($M$109="x",1)-IF($M$99="x",1)+IF($M$90="x",1)-15)</f>
        <v>0</v>
      </c>
      <c r="C683" s="49" t="s">
        <v>244</v>
      </c>
      <c r="D683" s="51" t="s">
        <v>244</v>
      </c>
      <c r="E683" s="49" t="s">
        <v>244</v>
      </c>
      <c r="F683" s="82" t="s">
        <v>244</v>
      </c>
      <c r="G683" s="82" t="str">
        <f>(IF($I$89="x","50 %","")&amp;(IF($C$81="x","20 %",""))&amp;(IF($C$82="x","50 %","")))</f>
        <v/>
      </c>
      <c r="H683" s="28"/>
      <c r="I683" s="17">
        <v>0</v>
      </c>
      <c r="J683" s="17">
        <v>0</v>
      </c>
      <c r="K683" s="40"/>
      <c r="AB683" s="59"/>
      <c r="AC683" s="51"/>
      <c r="AD683" s="49"/>
      <c r="AE683" s="51"/>
      <c r="AF683" s="49"/>
      <c r="AG683" s="49"/>
      <c r="AH683" s="49"/>
      <c r="AI683" s="40"/>
      <c r="AJ683" s="40"/>
      <c r="AK683" s="40"/>
      <c r="AL683" s="40"/>
    </row>
    <row r="684" spans="1:38" x14ac:dyDescent="0.2">
      <c r="A684" s="127">
        <f>A683*2</f>
        <v>20</v>
      </c>
      <c r="B684" s="123">
        <f>_xlfn.IFS($I$85="x",
"PAINISSA",
$C$106="",
SUM($C$3,$I$3)+IF(H687="x",1)+$I$16-$B$10+$M$94+IF($C$77="x",2)-IF($C$78="x",4)-IF($I$78="x",1)-IF($I$77="x",2)-IF($I$90="x",2)+IF($I$83="x",2)-IF($C$76="x",4)-$C$112+IF(H683="x",1)+I683+$M$77+IF(H685="x",1)+IF(I685="x",1)+IF($M$76="x",2)+J683+IF($M$85="x",1)+IF($M$113="x",1)+IF($M$120="x",2)+IF($M$119="x",2)+IF($M$105="x",1)+IF($M$110="x",1)+IF($M$111="x",2)+IF($M$112="x",4)+IF($M$108="x",1)-IF($M$109="x",1)-IF($M$99="x",1)+IF($M$90="x",1)-2,
$B$3&lt;6,
SUM($C$3,$I$3)+IF(H687="x",1)+$I$16-$B$10+$M$94+IF($C$77="x",2)-IF($C$78="x",4)-IF($I$78="x",1)-IF($I$77="x",2)-IF($I$90="x",2)+IF($I$83="x",2)-IF($C$76="x",4)-$C$112+IF(H683="x",1)+I683+$M$77+IF(H685="x",1)+IF(I685="x",1)+IF($M$76="x",2)+J683+IF($M$85="x",1)+IF($M$113="x",1)+IF($M$120="x",2)+IF($M$119="x",2)+IF($M$105="x",1)+IF($M$110="x",1)+IF($M$111="x",2)+IF($M$112="x",4)+IF($M$108="x",1)-IF($M$109="x",1)-IF($M$99="x",1)+IF($M$90="x",1)-2,
$B$3&lt;11,
SUM($C$3,$I$3)+IF(H687="x",1)+$I$16-$B$10+$M$94+IF($C$77="x",2)-IF($C$78="x",4)-IF($I$78="x",1)-IF($I$77="x",2)-IF($I$90="x",2)+IF($I$83="x",2)-IF($C$76="x",4)-$C$112+IF(H683="x",1)+I683+$M$77+IF(H685="x",1)+IF(I685="x",1)+IF($M$76="x",2)+J683+IF($M$85="x",1)+IF($M$113="x",1)+IF($M$120="x",2)+IF($M$119="x",2)+IF($M$105="x",1)+IF($M$110="x",1)+IF($M$111="x",2)+IF($M$112="x",4)+IF($M$108="x",1)-IF($M$109="x",1)-IF($M$99="x",1)+IF($M$90="x",1)-2
&amp;"/"&amp;SUM($C$3,$I$3)+IF(H687="x",1)+$I$16-$B$10+$M$94+IF($C$77="x",2)-IF($C$78="x",4)-IF($I$78="x",1)-IF($I$77="x",2)-IF($I$90="x",2)+IF($I$83="x",2)-IF($C$76="x",4)-$C$112+IF(H683="x",1)+I683+$M$77+IF(H685="x",1)+IF(I685="x",1)+IF($M$76="x",2)+J683+IF($M$85="x",1)+IF($M$113="x",1)+IF($M$120="x",2)+IF($M$119="x",2)+IF($M$105="x",1)+IF($M$110="x",1)+IF($M$111="x",2)+IF($M$112="x",4)+IF($M$108="x",1)-IF($M$109="x",1)-IF($M$99="x",1)+IF($M$90="x",1)-5-2,
$B$3&lt;16,
SUM($C$3,$I$3)+IF(H687="x",1)+$I$16-$B$10+$M$94+IF($C$77="x",2)-IF($C$78="x",4)-IF($I$78="x",1)-IF($I$77="x",2)-IF($I$90="x",2)+IF($I$83="x",2)-IF($C$76="x",4)-$C$112+IF(H683="x",1)+I683+$M$77+IF(H685="x",1)+IF(I685="x",1)+IF($M$76="x",2)+J683+IF($M$85="x",1)+IF($M$113="x",1)+IF($M$120="x",2)+IF($M$119="x",2)+IF($M$105="x",1)+IF($M$110="x",1)+IF($M$111="x",2)+IF($M$112="x",4)+IF($M$108="x",1)-IF($M$109="x",1)-IF($M$99="x",1)+IF($M$90="x",1)-2
&amp;"/"&amp;SUM($C$3,$I$3)+IF(H687="x",1)+$I$16-$B$10+$M$94+IF($C$77="x",2)-IF($C$78="x",4)-IF($I$78="x",1)-IF($I$77="x",2)-IF($I$90="x",2)+IF($I$83="x",2)-IF($C$76="x",4)-$C$112+IF(H683="x",1)+I683+$M$77+IF(H685="x",1)+IF(I685="x",1)+IF($M$76="x",2)+J683+IF($M$85="x",1)+IF($M$113="x",1)+IF($M$120="x",2)+IF($M$119="x",2)+IF($M$105="x",1)+IF($M$110="x",1)+IF($M$111="x",2)+IF($M$112="x",4)+IF($M$108="x",1)-IF($M$109="x",1)-IF($M$99="x",1)+IF($M$90="x",1)-5-2
&amp;"/"&amp;SUM($C$3,$I$3)+IF(H687="x",1)+$I$16-$B$10+$M$94+IF($C$77="x",2)-IF($C$78="x",4)-IF($I$78="x",1)-IF($I$77="x",2)-IF($I$90="x",2)+IF($I$83="x",2)-IF($C$76="x",4)-$C$112+IF(H683="x",1)+I683+$M$77+IF(H685="x",1)+IF(I685="x",1)+IF($M$76="x",2)+J683+IF($M$85="x",1)+IF($M$113="x",1)+IF($M$120="x",2)+IF($M$119="x",2)+IF($M$105="x",1)+IF($M$110="x",1)+IF($M$111="x",2)+IF($M$112="x",4)+IF($M$108="x",1)-IF($M$109="x",1)-IF($M$99="x",1)+IF($M$90="x",1)-10-2,
$B$3&gt;=16,
SUM($C$3,$I$3)+IF(H687="x",1)+$I$16-$B$10+$M$94+IF($C$77="x",2)-IF($C$78="x",4)-IF($I$78="x",1)-IF($I$77="x",2)-IF($I$90="x",2)+IF($I$83="x",2)-IF($C$76="x",4)-$C$112+IF(H683="x",1)+I683+$M$77+IF(H685="x",1)+IF(I685="x",1)+IF($M$76="x",2)+J683+IF($M$85="x",1)+IF($M$113="x",1)+IF($M$120="x",2)+IF($M$119="x",2)+IF($M$105="x",1)+IF($M$110="x",1)+IF($M$111="x",2)+IF($M$112="x",4)+IF($M$108="x",1)-IF($M$109="x",1)-IF($M$99="x",1)+IF($M$90="x",1)-2
&amp;"/"&amp;SUM($C$3,$I$3)+IF(H687="x",1)+$I$16-$B$10+$M$94+IF($C$77="x",2)-IF($C$78="x",4)-IF($I$78="x",1)-IF($I$77="x",2)-IF($I$90="x",2)+IF($I$83="x",2)-IF($C$76="x",4)-$C$112+IF(H683="x",1)+I683+$M$77+IF(H685="x",1)+IF(I685="x",1)+IF($M$76="x",2)+J683+IF($M$85="x",1)+IF($M$113="x",1)+IF($M$120="x",2)+IF($M$119="x",2)+IF($M$105="x",1)+IF($M$110="x",1)+IF($M$111="x",2)+IF($M$112="x",4)+IF($M$108="x",1)-IF($M$109="x",1)-IF($M$99="x",1)+IF($M$90="x",1)-5-2
&amp;"/"&amp;SUM($C$3,$I$3)+IF(H687="x",1)+$I$16-$B$10+$M$94+IF($C$77="x",2)-IF($C$78="x",4)-IF($I$78="x",1)-IF($I$77="x",2)-IF($I$90="x",2)+IF($I$83="x",2)-IF($C$76="x",4)-$C$112+IF(H683="x",1)+I683+$M$77+IF(H685="x",1)+IF(I685="x",1)+IF($M$76="x",2)+J683+IF($M$85="x",1)+IF($M$113="x",1)+IF($M$120="x",2)+IF($M$119="x",2)+IF($M$105="x",1)+IF($M$110="x",1)+IF($M$111="x",2)+IF($M$112="x",4)+IF($M$108="x",1)-IF($M$109="x",1)-IF($M$99="x",1)+IF($M$90="x",1)-10-2
&amp;"/"&amp;SUM($C$3,$I$3)+IF(H687="x",1)+$I$16-$B$10+$M$94+IF($C$77="x",2)-IF($C$78="x",4)-IF($I$78="x",1)-IF($I$77="x",2)-IF($I$90="x",2)+IF($I$83="x",2)-IF($C$76="x",4)-$C$112+IF(H683="x",1)+I683+$M$77+IF(H685="x",1)+IF(I685="x",1)+IF($M$76="x",2)+J683+IF($M$85="x",1)+IF($M$113="x",1)+IF($M$120="x",2)+IF($M$119="x",2)+IF($M$105="x",1)+IF($M$110="x",1)+IF($M$111="x",2)+IF($M$112="x",4)+IF($M$108="x",1)-IF($M$109="x",1)-IF($M$99="x",1)+IF($M$90="x",1)-15-2)</f>
        <v>-2</v>
      </c>
      <c r="C684" s="82"/>
      <c r="D684" s="121"/>
      <c r="E684" s="82"/>
      <c r="F684" s="82"/>
      <c r="G684" s="123" t="str">
        <f>(IF($I$89="x","50 %","")&amp;(IF($C$81="x","20 %",""))&amp;(IF($C$82="x","50 %","")))</f>
        <v/>
      </c>
      <c r="H684" s="14" t="s">
        <v>220</v>
      </c>
      <c r="I684" s="14" t="s">
        <v>222</v>
      </c>
      <c r="K684" s="48"/>
      <c r="AB684" s="62"/>
      <c r="AC684" s="53"/>
      <c r="AD684" s="49"/>
      <c r="AE684" s="51"/>
      <c r="AF684" s="49"/>
      <c r="AG684" s="49"/>
      <c r="AH684" s="49"/>
      <c r="AI684" s="48"/>
      <c r="AJ684" s="48"/>
      <c r="AK684" s="48"/>
    </row>
    <row r="685" spans="1:38" x14ac:dyDescent="0.2">
      <c r="A685" s="126">
        <f>A683*3</f>
        <v>30</v>
      </c>
      <c r="B685" s="121">
        <f>_xlfn.IFS($I$85="x",
"PAINISSA",
$C$106="",
SUM($C$3,$I$3)+IF(H687="x",1)+$I$16-$B$10+$M$94+IF($C$77="x",2)-IF($C$78="x",4)-IF($I$78="x",1)-IF($I$77="x",2)-IF($I$90="x",2)+IF($I$83="x",2)-IF($C$76="x",4)-$C$112+IF(H683="x",1)+I683+$M$77+IF(H685="x",1)+IF(I685="x",1)+IF($M$76="x",2)+J683+IF($M$85="x",1)+IF($M$113="x",1)+IF($M$120="x",2)+IF($M$119="x",2)+IF($M$105="x",1)+IF($M$110="x",1)+IF($M$111="x",2)+IF($M$112="x",4)+IF($M$108="x",1)-IF($M$109="x",1)-IF($M$99="x",1)+IF($M$90="x",1)-4,
$B$3&lt;6,
SUM($C$3,$I$3)+IF(H687="x",1)+$I$16-$B$10+$M$94+IF($C$77="x",2)-IF($C$78="x",4)-IF($I$78="x",1)-IF($I$77="x",2)-IF($I$90="x",2)+IF($I$83="x",2)-IF($C$76="x",4)-$C$112+IF(H683="x",1)+I683+$M$77+IF(H685="x",1)+IF(I685="x",1)+IF($M$76="x",2)+J683+IF($M$85="x",1)+IF($M$113="x",1)+IF($M$120="x",2)+IF($M$119="x",2)+IF($M$105="x",1)+IF($M$110="x",1)+IF($M$111="x",2)+IF($M$112="x",4)+IF($M$108="x",1)-IF($M$109="x",1)-IF($M$99="x",1)+IF($M$90="x",1)-4,
$B$3&lt;11,
SUM($C$3,$I$3)+IF(H687="x",1)+$I$16-$B$10+$M$94+IF($C$77="x",2)-IF($C$78="x",4)-IF($I$78="x",1)-IF($I$77="x",2)-IF($I$90="x",2)+IF($I$83="x",2)-IF($C$76="x",4)-$C$112+IF(H683="x",1)+I683+$M$77+IF(H685="x",1)+IF(I685="x",1)+IF($M$76="x",2)+J683+IF($M$85="x",1)+IF($M$113="x",1)+IF($M$120="x",2)+IF($M$119="x",2)+IF($M$105="x",1)+IF($M$110="x",1)+IF($M$111="x",2)+IF($M$112="x",4)+IF($M$108="x",1)-IF($M$109="x",1)-IF($M$99="x",1)+IF($M$90="x",1)-4
&amp;"/"&amp;SUM($C$3,$I$3)+IF(H687="x",1)+$I$16-$B$10+$M$94+IF($C$77="x",2)-IF($C$78="x",4)-IF($I$78="x",1)-IF($I$77="x",2)-IF($I$90="x",2)+IF($I$83="x",2)-IF($C$76="x",4)-$C$112+IF(H683="x",1)+I683+$M$77+IF(H685="x",1)+IF(I685="x",1)+IF($M$76="x",2)+J683+IF($M$85="x",1)+IF($M$113="x",1)+IF($M$120="x",2)+IF($M$119="x",2)+IF($M$105="x",1)+IF($M$110="x",1)+IF($M$111="x",2)+IF($M$112="x",4)+IF($M$108="x",1)-IF($M$109="x",1)-IF($M$99="x",1)+IF($M$90="x",1)-5-4,
$B$3&lt;16,
SUM($C$3,$I$3)+IF(H687="x",1)+$I$16-$B$10+$M$94+IF($C$77="x",2)-IF($C$78="x",4)-IF($I$78="x",1)-IF($I$77="x",2)-IF($I$90="x",2)+IF($I$83="x",2)-IF($C$76="x",4)-$C$112+IF(H683="x",1)+I683+$M$77+IF(H685="x",1)+IF(I685="x",1)+IF($M$76="x",2)+J683+IF($M$85="x",1)+IF($M$113="x",1)+IF($M$120="x",2)+IF($M$119="x",2)+IF($M$105="x",1)+IF($M$110="x",1)+IF($M$111="x",2)+IF($M$112="x",4)+IF($M$108="x",1)-IF($M$109="x",1)-IF($M$99="x",1)+IF($M$90="x",1)-4
&amp;"/"&amp;SUM($C$3,$I$3)+IF(H687="x",1)+$I$16-$B$10+$M$94+IF($C$77="x",2)-IF($C$78="x",4)-IF($I$78="x",1)-IF($I$77="x",2)-IF($I$90="x",2)+IF($I$83="x",2)-IF($C$76="x",4)-$C$112+IF(H683="x",1)+I683+$M$77+IF(H685="x",1)+IF(I685="x",1)+IF($M$76="x",2)+J683+IF($M$85="x",1)+IF($M$113="x",1)+IF($M$120="x",2)+IF($M$119="x",2)+IF($M$105="x",1)+IF($M$110="x",1)+IF($M$111="x",2)+IF($M$112="x",4)+IF($M$108="x",1)-IF($M$109="x",1)-IF($M$99="x",1)+IF($M$90="x",1)-5-4
&amp;"/"&amp;SUM($C$3,$I$3)+IF(H687="x",1)+$I$16-$B$10+$M$94+IF($C$77="x",2)-IF($C$78="x",4)-IF($I$78="x",1)-IF($I$77="x",2)-IF($I$90="x",2)+IF($I$83="x",2)-IF($C$76="x",4)-$C$112+IF(H683="x",1)+I683+$M$77+IF(H685="x",1)+IF(I685="x",1)+IF($M$76="x",2)+J683+IF($M$85="x",1)+IF($M$113="x",1)+IF($M$120="x",2)+IF($M$119="x",2)+IF($M$105="x",1)+IF($M$110="x",1)+IF($M$111="x",2)+IF($M$112="x",4)+IF($M$108="x",1)-IF($M$109="x",1)-IF($M$99="x",1)+IF($M$90="x",1)-10-4,
$B$3&gt;=16,
SUM($C$3,$I$3)+IF(H687="x",1)+$I$16-$B$10+$M$94+IF($C$77="x",2)-IF($C$78="x",4)-IF($I$78="x",1)-IF($I$77="x",2)-IF($I$90="x",2)+IF($I$83="x",2)-IF($C$76="x",4)-$C$112+IF(H683="x",1)+I683+$M$77+IF(H685="x",1)+IF(I685="x",1)+IF($M$76="x",2)+J683+IF($M$85="x",1)+IF($M$113="x",1)+IF($M$120="x",2)+IF($M$119="x",2)+IF($M$105="x",1)+IF($M$110="x",1)+IF($M$111="x",2)+IF($M$112="x",4)+IF($M$108="x",1)-IF($M$109="x",1)-IF($M$99="x",1)+IF($M$90="x",1)-4
&amp;"/"&amp;SUM($C$3,$I$3)+IF(H687="x",1)+$I$16-$B$10+$M$94+IF($C$77="x",2)-IF($C$78="x",4)-IF($I$78="x",1)-IF($I$77="x",2)-IF($I$90="x",2)+IF($I$83="x",2)-IF($C$76="x",4)-$C$112+IF(H683="x",1)+I683+$M$77+IF(H685="x",1)+IF(I685="x",1)+IF($M$76="x",2)+J683+IF($M$85="x",1)+IF($M$113="x",1)+IF($M$120="x",2)+IF($M$119="x",2)+IF($M$105="x",1)+IF($M$110="x",1)+IF($M$111="x",2)+IF($M$112="x",4)+IF($M$108="x",1)-IF($M$109="x",1)-IF($M$99="x",1)+IF($M$90="x",1)-5-4
&amp;"/"&amp;SUM($C$3,$I$3)+IF(H687="x",1)+$I$16-$B$10+$M$94+IF($C$77="x",2)-IF($C$78="x",4)-IF($I$78="x",1)-IF($I$77="x",2)-IF($I$90="x",2)+IF($I$83="x",2)-IF($C$76="x",4)-$C$112+IF(H683="x",1)+I683+$M$77+IF(H685="x",1)+IF(I685="x",1)+IF($M$76="x",2)+J683+IF($M$85="x",1)+IF($M$113="x",1)+IF($M$120="x",2)+IF($M$119="x",2)+IF($M$105="x",1)+IF($M$110="x",1)+IF($M$111="x",2)+IF($M$112="x",4)+IF($M$108="x",1)-IF($M$109="x",1)-IF($M$99="x",1)+IF($M$90="x",1)-10-4
&amp;"/"&amp;SUM($C$3,$I$3)+IF(H687="x",1)+$I$16-$B$10+$M$94+IF($C$77="x",2)-IF($C$78="x",4)-IF($I$78="x",1)-IF($I$77="x",2)-IF($I$90="x",2)+IF($I$83="x",2)-IF($C$76="x",4)-$C$112+IF(H683="x",1)+I683+$M$77+IF(H685="x",1)+IF(I685="x",1)+IF($M$76="x",2)+J683+IF($M$85="x",1)+IF($M$113="x",1)+IF($M$120="x",2)+IF($M$119="x",2)+IF($M$105="x",1)+IF($M$110="x",1)+IF($M$111="x",2)+IF($M$112="x",4)+IF($M$108="x",1)-IF($M$109="x",1)-IF($M$99="x",1)+IF($M$90="x",1)-15-4)</f>
        <v>-4</v>
      </c>
      <c r="C685" s="82"/>
      <c r="D685" s="121"/>
      <c r="E685" s="82"/>
      <c r="F685" s="82"/>
      <c r="G685" s="82" t="str">
        <f>(IF($I$89="x","50 %","")&amp;(IF($C$81="x","20 %",""))&amp;(IF($C$82="x","50 %","")))</f>
        <v/>
      </c>
      <c r="H685" s="28"/>
      <c r="I685" s="28"/>
      <c r="J685" s="25"/>
      <c r="K685" s="40"/>
      <c r="AB685" s="59"/>
      <c r="AC685" s="51"/>
      <c r="AD685" s="49"/>
      <c r="AE685" s="51"/>
      <c r="AF685" s="49"/>
      <c r="AG685" s="49"/>
      <c r="AH685" s="49"/>
      <c r="AI685" s="40"/>
      <c r="AJ685" s="40"/>
      <c r="AK685" s="40"/>
      <c r="AL685" s="50"/>
    </row>
    <row r="686" spans="1:38" x14ac:dyDescent="0.2">
      <c r="A686" s="127">
        <f>A683*4</f>
        <v>40</v>
      </c>
      <c r="B686" s="123">
        <f>_xlfn.IFS($I$85="x",
"PAINISSA",
$C$106="",
SUM($C$3,$I$3)+IF(H687="x",1)+$I$16-$B$10+$M$94+IF($C$77="x",2)-IF($C$78="x",4)-IF($I$78="x",1)-IF($I$77="x",2)-IF($I$90="x",2)+IF($I$83="x",2)-IF($C$76="x",4)-$C$112+IF(H683="x",1)+I683+$M$77+IF(H685="x",1)+IF(I685="x",1)+IF($M$76="x",2)+J683+IF($M$85="x",1)+IF($M$113="x",1)+IF($M$120="x",2)+IF($M$119="x",2)+IF($M$105="x",1)+IF($M$110="x",1)+IF($M$111="x",2)+IF($M$112="x",4)+IF($M$108="x",1)-IF($M$109="x",1)-IF($M$99="x",1)+IF($M$90="x",1)-6,
$B$3&lt;6,
SUM($C$3,$I$3)+IF(H687="x",1)+$I$16-$B$10+$M$94+IF($C$77="x",2)-IF($C$78="x",4)-IF($I$78="x",1)-IF($I$77="x",2)-IF($I$90="x",2)+IF($I$83="x",2)-IF($C$76="x",4)-$C$112+IF(H683="x",1)+I683+$M$77+IF(H685="x",1)+IF(I685="x",1)+IF($M$76="x",2)+J683+IF($M$85="x",1)+IF($M$113="x",1)+IF($M$120="x",2)+IF($M$119="x",2)+IF($M$105="x",1)+IF($M$110="x",1)+IF($M$111="x",2)+IF($M$112="x",4)+IF($M$108="x",1)-IF($M$109="x",1)-IF($M$99="x",1)+IF($M$90="x",1)-6,
$B$3&lt;11,
SUM($C$3,$I$3)+IF(H687="x",1)+$I$16-$B$10+$M$94+IF($C$77="x",2)-IF($C$78="x",4)-IF($I$78="x",1)-IF($I$77="x",2)-IF($I$90="x",2)+IF($I$83="x",2)-IF($C$76="x",4)-$C$112+IF(H683="x",1)+I683+$M$77+IF(H685="x",1)+IF(I685="x",1)+IF($M$76="x",2)+J683+IF($M$85="x",1)+IF($M$113="x",1)+IF($M$120="x",2)+IF($M$119="x",2)+IF($M$105="x",1)+IF($M$110="x",1)+IF($M$111="x",2)+IF($M$112="x",4)+IF($M$108="x",1)-IF($M$109="x",1)-IF($M$99="x",1)+IF($M$90="x",1)-6
&amp;"/"&amp;SUM($C$3,$I$3)+IF(H687="x",1)+$I$16-$B$10+$M$94+IF($C$77="x",2)-IF($C$78="x",4)-IF($I$78="x",1)-IF($I$77="x",2)-IF($I$90="x",2)+IF($I$83="x",2)-IF($C$76="x",4)-$C$112+IF(H683="x",1)+I683+$M$77+IF(H685="x",1)+IF(I685="x",1)+IF($M$76="x",2)+J683+IF($M$85="x",1)+IF($M$113="x",1)+IF($M$120="x",2)+IF($M$119="x",2)+IF($M$105="x",1)+IF($M$110="x",1)+IF($M$111="x",2)+IF($M$112="x",4)+IF($M$108="x",1)-IF($M$109="x",1)-IF($M$99="x",1)+IF($M$90="x",1)-5-6,
$B$3&lt;16,
SUM($C$3,$I$3)+IF(H687="x",1)+$I$16-$B$10+$M$94+IF($C$77="x",2)-IF($C$78="x",4)-IF($I$78="x",1)-IF($I$77="x",2)-IF($I$90="x",2)+IF($I$83="x",2)-IF($C$76="x",4)-$C$112+IF(H683="x",1)+I683+$M$77+IF(H685="x",1)+IF(I685="x",1)+IF($M$76="x",2)+J683+IF($M$85="x",1)+IF($M$113="x",1)+IF($M$120="x",2)+IF($M$119="x",2)+IF($M$105="x",1)+IF($M$110="x",1)+IF($M$111="x",2)+IF($M$112="x",4)+IF($M$108="x",1)-IF($M$109="x",1)-IF($M$99="x",1)+IF($M$90="x",1)-6
&amp;"/"&amp;SUM($C$3,$I$3)+IF(H687="x",1)+$I$16-$B$10+$M$94+IF($C$77="x",2)-IF($C$78="x",4)-IF($I$78="x",1)-IF($I$77="x",2)-IF($I$90="x",2)+IF($I$83="x",2)-IF($C$76="x",4)-$C$112+IF(H683="x",1)+I683+$M$77+IF(H685="x",1)+IF(I685="x",1)+IF($M$76="x",2)+J683+IF($M$85="x",1)+IF($M$113="x",1)+IF($M$120="x",2)+IF($M$119="x",2)+IF($M$105="x",1)+IF($M$110="x",1)+IF($M$111="x",2)+IF($M$112="x",4)+IF($M$108="x",1)-IF($M$109="x",1)-IF($M$99="x",1)+IF($M$90="x",1)-5-6
&amp;"/"&amp;SUM($C$3,$I$3)+IF(H687="x",1)+$I$16-$B$10+$M$94+IF($C$77="x",2)-IF($C$78="x",4)-IF($I$78="x",1)-IF($I$77="x",2)-IF($I$90="x",2)+IF($I$83="x",2)-IF($C$76="x",4)-$C$112+IF(H683="x",1)+I683+$M$77+IF(H685="x",1)+IF(I685="x",1)+IF($M$76="x",2)+J683+IF($M$85="x",1)+IF($M$113="x",1)+IF($M$120="x",2)+IF($M$119="x",2)+IF($M$105="x",1)+IF($M$110="x",1)+IF($M$111="x",2)+IF($M$112="x",4)+IF($M$108="x",1)-IF($M$109="x",1)-IF($M$99="x",1)+IF($M$90="x",1)-10-6,
$B$3&gt;=16,
SUM($C$3,$I$3)+IF(H687="x",1)+$I$16-$B$10+$M$94+IF($C$77="x",2)-IF($C$78="x",4)-IF($I$78="x",1)-IF($I$77="x",2)-IF($I$90="x",2)+IF($I$83="x",2)-IF($C$76="x",4)-$C$112+IF(H683="x",1)+I683+$M$77+IF(H685="x",1)+IF(I685="x",1)+IF($M$76="x",2)+J683+IF($M$85="x",1)+IF($M$113="x",1)+IF($M$120="x",2)+IF($M$119="x",2)+IF($M$105="x",1)+IF($M$110="x",1)+IF($M$111="x",2)+IF($M$112="x",4)+IF($M$108="x",1)-IF($M$109="x",1)-IF($M$99="x",1)+IF($M$90="x",1)-6
&amp;"/"&amp;SUM($C$3,$I$3)+IF(H687="x",1)+$I$16-$B$10+$M$94+IF($C$77="x",2)-IF($C$78="x",4)-IF($I$78="x",1)-IF($I$77="x",2)-IF($I$90="x",2)+IF($I$83="x",2)-IF($C$76="x",4)-$C$112+IF(H683="x",1)+I683+$M$77+IF(H685="x",1)+IF(I685="x",1)+IF($M$76="x",2)+J683+IF($M$85="x",1)+IF($M$113="x",1)+IF($M$120="x",2)+IF($M$119="x",2)+IF($M$105="x",1)+IF($M$110="x",1)+IF($M$111="x",2)+IF($M$112="x",4)+IF($M$108="x",1)-IF($M$109="x",1)-IF($M$99="x",1)+IF($M$90="x",1)-5-6
&amp;"/"&amp;SUM($C$3,$I$3)+IF(H687="x",1)+$I$16-$B$10+$M$94+IF($C$77="x",2)-IF($C$78="x",4)-IF($I$78="x",1)-IF($I$77="x",2)-IF($I$90="x",2)+IF($I$83="x",2)-IF($C$76="x",4)-$C$112+IF(H683="x",1)+I683+$M$77+IF(H685="x",1)+IF(I685="x",1)+IF($M$76="x",2)+J683+IF($M$85="x",1)+IF($M$113="x",1)+IF($M$120="x",2)+IF($M$119="x",2)+IF($M$105="x",1)+IF($M$110="x",1)+IF($M$111="x",2)+IF($M$112="x",4)+IF($M$108="x",1)-IF($M$109="x",1)-IF($M$99="x",1)+IF($M$90="x",1)-10-6
&amp;"/"&amp;SUM($C$3,$I$3)+IF(H687="x",1)+$I$16-$B$10+$M$94+IF($C$77="x",2)-IF($C$78="x",4)-IF($I$78="x",1)-IF($I$77="x",2)-IF($I$90="x",2)+IF($I$83="x",2)-IF($C$76="x",4)-$C$112+IF(H683="x",1)+I683+$M$77+IF(H685="x",1)+IF(I685="x",1)+IF($M$76="x",2)+J683+IF($M$85="x",1)+IF($M$113="x",1)+IF($M$120="x",2)+IF($M$119="x",2)+IF($M$105="x",1)+IF($M$110="x",1)+IF($M$111="x",2)+IF($M$112="x",4)+IF($M$108="x",1)-IF($M$109="x",1)-IF($M$99="x",1)+IF($M$90="x",1)-15-6)</f>
        <v>-6</v>
      </c>
      <c r="C686" s="82"/>
      <c r="D686" s="121"/>
      <c r="E686" s="82"/>
      <c r="F686" s="82"/>
      <c r="G686" s="123" t="str">
        <f>(IF($I$89="x","50 %","")&amp;(IF($C$81="x","20 %",""))&amp;(IF($C$82="x","50 %","")))</f>
        <v/>
      </c>
      <c r="H686" s="14" t="s">
        <v>182</v>
      </c>
      <c r="I686" s="11"/>
      <c r="AB686" s="62"/>
      <c r="AC686" s="53"/>
      <c r="AD686" s="49"/>
      <c r="AE686" s="51"/>
      <c r="AF686" s="49"/>
      <c r="AG686" s="49"/>
      <c r="AH686" s="49"/>
      <c r="AI686" s="49"/>
      <c r="AJ686" s="50"/>
      <c r="AK686" s="65"/>
      <c r="AL686" s="65"/>
    </row>
    <row r="687" spans="1:38" x14ac:dyDescent="0.2">
      <c r="A687" s="126">
        <f>A683*5</f>
        <v>50</v>
      </c>
      <c r="B687" s="121">
        <f>_xlfn.IFS($I$85="x",
"PAINISSA",
$C$106="",
SUM($C$3,$I$3)+IF(H687="x",1)+$I$16-$B$10+$M$94+IF($C$77="x",2)-IF($C$78="x",4)-IF($I$78="x",1)-IF($I$77="x",2)-IF($I$90="x",2)+IF($I$83="x",2)-IF($C$76="x",4)-$C$112+IF(H683="x",1)+I683+$M$77+IF(H685="x",1)+IF(I685="x",1)+IF($M$76="x",2)+J683+IF($M$85="x",1)+IF($M$113="x",1)+IF($M$120="x",2)+IF($M$119="x",2)+IF($M$105="x",1)+IF($M$110="x",1)+IF($M$111="x",2)+IF($M$112="x",4)+IF($M$108="x",1)-IF($M$109="x",1)-IF($M$99="x",1)+IF($M$90="x",1)-8,
$B$3&lt;6,
SUM($C$3,$I$3)+IF(H687="x",1)+$I$16-$B$10+$M$94+IF($C$77="x",2)-IF($C$78="x",4)-IF($I$78="x",1)-IF($I$77="x",2)-IF($I$90="x",2)+IF($I$83="x",2)-IF($C$76="x",4)-$C$112+IF(H683="x",1)+I683+$M$77+IF(H685="x",1)+IF(I685="x",1)+IF($M$76="x",2)+J683+IF($M$85="x",1)+IF($M$113="x",1)+IF($M$120="x",2)+IF($M$119="x",2)+IF($M$105="x",1)+IF($M$110="x",1)+IF($M$111="x",2)+IF($M$112="x",4)+IF($M$108="x",1)-IF($M$109="x",1)-IF($M$99="x",1)+IF($M$90="x",1)-8,
$B$3&lt;11,
SUM($C$3,$I$3)+IF(H687="x",1)+$I$16-$B$10+$M$94+IF($C$77="x",2)-IF($C$78="x",4)-IF($I$78="x",1)-IF($I$77="x",2)-IF($I$90="x",2)+IF($I$83="x",2)-IF($C$76="x",4)-$C$112+IF(H683="x",1)+I683+$M$77+IF(H685="x",1)+IF(I685="x",1)+IF($M$76="x",2)+J683+IF($M$85="x",1)+IF($M$113="x",1)+IF($M$120="x",2)+IF($M$119="x",2)+IF($M$105="x",1)+IF($M$110="x",1)+IF($M$111="x",2)+IF($M$112="x",4)+IF($M$108="x",1)-IF($M$109="x",1)-IF($M$99="x",1)+IF($M$90="x",1)-8
&amp;"/"&amp;SUM($C$3,$I$3)+IF(H687="x",1)+$I$16-$B$10+$M$94+IF($C$77="x",2)-IF($C$78="x",4)-IF($I$78="x",1)-IF($I$77="x",2)-IF($I$90="x",2)+IF($I$83="x",2)-IF($C$76="x",4)-$C$112+IF(H683="x",1)+I683+$M$77+IF(H685="x",1)+IF(I685="x",1)+IF($M$76="x",2)+J683+IF($M$85="x",1)+IF($M$113="x",1)+IF($M$120="x",2)+IF($M$119="x",2)+IF($M$105="x",1)+IF($M$110="x",1)+IF($M$111="x",2)+IF($M$112="x",4)+IF($M$108="x",1)-IF($M$109="x",1)-IF($M$99="x",1)+IF($M$90="x",1)-5-8,
$B$3&lt;16,
SUM($C$3,$I$3)+IF(H687="x",1)+$I$16-$B$10+$M$94+IF($C$77="x",2)-IF($C$78="x",4)-IF($I$78="x",1)-IF($I$77="x",2)-IF($I$90="x",2)+IF($I$83="x",2)-IF($C$76="x",4)-$C$112+IF(H683="x",1)+I683+$M$77+IF(H685="x",1)+IF(I685="x",1)+IF($M$76="x",2)+J683+IF($M$85="x",1)+IF($M$113="x",1)+IF($M$120="x",2)+IF($M$119="x",2)+IF($M$105="x",1)+IF($M$110="x",1)+IF($M$111="x",2)+IF($M$112="x",4)+IF($M$108="x",1)-IF($M$109="x",1)-IF($M$99="x",1)+IF($M$90="x",1)-8
&amp;"/"&amp;SUM($C$3,$I$3)+IF(H687="x",1)+$I$16-$B$10+$M$94+IF($C$77="x",2)-IF($C$78="x",4)-IF($I$78="x",1)-IF($I$77="x",2)-IF($I$90="x",2)+IF($I$83="x",2)-IF($C$76="x",4)-$C$112+IF(H683="x",1)+I683+$M$77+IF(H685="x",1)+IF(I685="x",1)+IF($M$76="x",2)+J683+IF($M$85="x",1)+IF($M$113="x",1)+IF($M$120="x",2)+IF($M$119="x",2)+IF($M$105="x",1)+IF($M$110="x",1)+IF($M$111="x",2)+IF($M$112="x",4)+IF($M$108="x",1)-IF($M$109="x",1)-IF($M$99="x",1)+IF($M$90="x",1)-5-8
&amp;"/"&amp;SUM($C$3,$I$3)+IF(H687="x",1)+$I$16-$B$10+$M$94+IF($C$77="x",2)-IF($C$78="x",4)-IF($I$78="x",1)-IF($I$77="x",2)-IF($I$90="x",2)+IF($I$83="x",2)-IF($C$76="x",4)-$C$112+IF(H683="x",1)+I683+$M$77+IF(H685="x",1)+IF(I685="x",1)+IF($M$76="x",2)+J683+IF($M$85="x",1)+IF($M$113="x",1)+IF($M$120="x",2)+IF($M$119="x",2)+IF($M$105="x",1)+IF($M$110="x",1)+IF($M$111="x",2)+IF($M$112="x",4)+IF($M$108="x",1)-IF($M$109="x",1)-IF($M$99="x",1)+IF($M$90="x",1)-10-8,
$B$3&gt;=16,
SUM($C$3,$I$3)+IF(H687="x",1)+$I$16-$B$10+$M$94+IF($C$77="x",2)-IF($C$78="x",4)-IF($I$78="x",1)-IF($I$77="x",2)-IF($I$90="x",2)+IF($I$83="x",2)-IF($C$76="x",4)-$C$112+IF(H683="x",1)+I683+$M$77+IF(H685="x",1)+IF(I685="x",1)+IF($M$76="x",2)+J683+IF($M$85="x",1)+IF($M$113="x",1)+IF($M$120="x",2)+IF($M$119="x",2)+IF($M$105="x",1)+IF($M$110="x",1)+IF($M$111="x",2)+IF($M$112="x",4)+IF($M$108="x",1)-IF($M$109="x",1)-IF($M$99="x",1)+IF($M$90="x",1)-8
&amp;"/"&amp;SUM($C$3,$I$3)+IF(H687="x",1)+$I$16-$B$10+$M$94+IF($C$77="x",2)-IF($C$78="x",4)-IF($I$78="x",1)-IF($I$77="x",2)-IF($I$90="x",2)+IF($I$83="x",2)-IF($C$76="x",4)-$C$112+IF(H683="x",1)+I683+$M$77+IF(H685="x",1)+IF(I685="x",1)+IF($M$76="x",2)+J683+IF($M$85="x",1)+IF($M$113="x",1)+IF($M$120="x",2)+IF($M$119="x",2)+IF($M$105="x",1)+IF($M$110="x",1)+IF($M$111="x",2)+IF($M$112="x",4)+IF($M$108="x",1)-IF($M$109="x",1)-IF($M$99="x",1)+IF($M$90="x",1)-5-8
&amp;"/"&amp;SUM($C$3,$I$3)+IF(H687="x",1)+$I$16-$B$10+$M$94+IF($C$77="x",2)-IF($C$78="x",4)-IF($I$78="x",1)-IF($I$77="x",2)-IF($I$90="x",2)+IF($I$83="x",2)-IF($C$76="x",4)-$C$112+IF(H683="x",1)+I683+$M$77+IF(H685="x",1)+IF(I685="x",1)+IF($M$76="x",2)+J683+IF($M$85="x",1)+IF($M$113="x",1)+IF($M$120="x",2)+IF($M$119="x",2)+IF($M$105="x",1)+IF($M$110="x",1)+IF($M$111="x",2)+IF($M$112="x",4)+IF($M$108="x",1)-IF($M$109="x",1)-IF($M$99="x",1)+IF($M$90="x",1)-10-8
&amp;"/"&amp;SUM($C$3,$I$3)+IF(H687="x",1)+$I$16-$B$10+$M$94+IF($C$77="x",2)-IF($C$78="x",4)-IF($I$78="x",1)-IF($I$77="x",2)-IF($I$90="x",2)+IF($I$83="x",2)-IF($C$76="x",4)-$C$112+IF(H683="x",1)+I683+$M$77+IF(H685="x",1)+IF(I685="x",1)+IF($M$76="x",2)+J683+IF($M$85="x",1)+IF($M$113="x",1)+IF($M$120="x",2)+IF($M$119="x",2)+IF($M$105="x",1)+IF($M$110="x",1)+IF($M$111="x",2)+IF($M$112="x",4)+IF($M$108="x",1)-IF($M$109="x",1)-IF($M$99="x",1)+IF($M$90="x",1)-15-8)</f>
        <v>-8</v>
      </c>
      <c r="C687" s="82"/>
      <c r="D687" s="121"/>
      <c r="E687" s="82"/>
      <c r="F687" s="82"/>
      <c r="G687" s="82" t="str">
        <f>(IF($I$89="x","50 %","")&amp;(IF($C$81="x","20 %",""))&amp;(IF($C$82="x","50 %","")))</f>
        <v/>
      </c>
      <c r="H687" s="28"/>
      <c r="I687" s="40"/>
      <c r="K687" s="25"/>
      <c r="L687" s="109"/>
      <c r="M687" s="109"/>
      <c r="N687" s="110"/>
      <c r="AB687" s="59"/>
      <c r="AC687" s="51"/>
      <c r="AD687" s="49"/>
      <c r="AE687" s="51"/>
      <c r="AF687" s="49"/>
      <c r="AG687" s="49"/>
      <c r="AH687" s="49"/>
      <c r="AI687" s="49"/>
      <c r="AJ687" s="40"/>
      <c r="AK687" s="65"/>
      <c r="AL687" s="65"/>
    </row>
    <row r="688" spans="1:38" x14ac:dyDescent="0.2">
      <c r="A688" s="152"/>
      <c r="B688" s="153"/>
      <c r="C688" s="76"/>
      <c r="D688" s="154"/>
      <c r="E688" s="76"/>
      <c r="F688" s="76"/>
      <c r="G688" s="153"/>
      <c r="H688" s="148"/>
      <c r="I688" s="148"/>
      <c r="J688" s="148"/>
      <c r="K688" s="148"/>
      <c r="L688" s="81"/>
      <c r="M688" s="81"/>
      <c r="N688" s="90"/>
      <c r="AB688" s="62"/>
      <c r="AC688" s="53"/>
      <c r="AD688" s="49"/>
      <c r="AE688" s="51"/>
      <c r="AF688" s="49"/>
      <c r="AG688" s="49"/>
      <c r="AH688" s="49"/>
      <c r="AI688" s="49"/>
      <c r="AJ688" s="49"/>
      <c r="AK688" s="65"/>
      <c r="AL688" s="65"/>
    </row>
    <row r="689" spans="1:38" x14ac:dyDescent="0.2">
      <c r="A689" s="59"/>
      <c r="B689" s="51"/>
      <c r="C689" s="49"/>
      <c r="D689" s="51"/>
      <c r="E689" s="49"/>
      <c r="F689" s="49"/>
      <c r="G689" s="49"/>
      <c r="H689" s="40"/>
      <c r="I689" s="40"/>
      <c r="J689" s="40"/>
      <c r="K689" s="40"/>
      <c r="AB689" s="59"/>
      <c r="AC689" s="51"/>
      <c r="AD689" s="49"/>
      <c r="AE689" s="51"/>
      <c r="AF689" s="49"/>
      <c r="AG689" s="49"/>
      <c r="AH689" s="49"/>
      <c r="AI689" s="49"/>
      <c r="AJ689" s="67"/>
    </row>
    <row r="690" spans="1:38" x14ac:dyDescent="0.2">
      <c r="A690" s="34" t="s">
        <v>245</v>
      </c>
      <c r="B690" s="53"/>
      <c r="C690" s="49"/>
      <c r="D690" s="51"/>
      <c r="E690" s="49"/>
      <c r="F690" s="49"/>
      <c r="G690" s="53"/>
      <c r="H690" s="48"/>
      <c r="I690" s="48"/>
      <c r="J690" s="45"/>
      <c r="K690" s="45"/>
      <c r="AB690" s="62"/>
      <c r="AC690" s="53"/>
      <c r="AD690" s="49"/>
      <c r="AE690" s="51"/>
      <c r="AF690" s="49"/>
      <c r="AG690" s="40"/>
      <c r="AH690" s="40"/>
      <c r="AI690" s="40"/>
      <c r="AJ690" s="67"/>
      <c r="AK690" s="50"/>
      <c r="AL690" s="50"/>
    </row>
    <row r="691" spans="1:38" x14ac:dyDescent="0.2">
      <c r="A691" s="10"/>
      <c r="B691" s="53"/>
      <c r="C691" s="49"/>
      <c r="D691" s="51"/>
      <c r="E691" s="49"/>
      <c r="F691" s="49"/>
      <c r="G691" s="53"/>
      <c r="H691" s="48"/>
      <c r="I691" s="48"/>
      <c r="J691" s="45"/>
      <c r="K691" s="45"/>
      <c r="AB691" s="62"/>
      <c r="AC691" s="53"/>
      <c r="AD691" s="49"/>
      <c r="AE691" s="51"/>
      <c r="AF691" s="49"/>
      <c r="AG691" s="40"/>
      <c r="AH691" s="40"/>
      <c r="AI691" s="40"/>
      <c r="AJ691" s="67"/>
      <c r="AK691" s="50"/>
      <c r="AL691" s="50"/>
    </row>
    <row r="692" spans="1:38" x14ac:dyDescent="0.2">
      <c r="A692" s="34" t="s">
        <v>271</v>
      </c>
      <c r="B692" s="11" t="s">
        <v>1</v>
      </c>
      <c r="C692" s="11" t="s">
        <v>2</v>
      </c>
      <c r="D692" s="11" t="s">
        <v>3</v>
      </c>
      <c r="E692" s="11" t="s">
        <v>229</v>
      </c>
      <c r="F692" s="11" t="s">
        <v>3</v>
      </c>
      <c r="G692" s="11" t="s">
        <v>45</v>
      </c>
      <c r="H692" s="14" t="s">
        <v>179</v>
      </c>
      <c r="I692" s="11" t="s">
        <v>242</v>
      </c>
      <c r="J692" s="11" t="s">
        <v>224</v>
      </c>
      <c r="K692" s="11" t="s">
        <v>225</v>
      </c>
    </row>
    <row r="693" spans="1:38" x14ac:dyDescent="0.2">
      <c r="A693" s="126">
        <f>IF($C$98="x",80*1.5,80)</f>
        <v>80</v>
      </c>
      <c r="B693" s="121">
        <f>_xlfn.IFS($I$85="x","PAINISSA",
I697="x",SUM($C$3,$I$3)+IF(H697="x",1)+$I$16-$B$10+$M$94+IF($C$77="x",2)-IF($C$78="x",4)-IF($I$78="x",1)-IF($I$77="x",2)-IF($I$90="x",2)+IF($I$83="x",2)-IF($C$76="x",4)-$C$112+IF(H693="x",1)+I693+$M$77+IF(H695="x",1)+IF(J695="x",1)+IF($M$76="x",2)+J693+IF($M$85="x",1)+IF($M$113="x",1)+IF($M$120="x",2)+IF($M$119="x",2)+IF($M$105="x",1)+IF($M$110="x",1)+IF($M$111="x",2)+IF($M$112="x",4)+IF($M$108="x",1)-IF($M$109="x",1)-IF($M$99="x",1)+IF($M$90="x",1)-2,
J697="x",SUM($C$3,$I$3)+IF(H697="x",1)+$I$16-$B$10+$M$94+IF($C$77="x",2)-IF($C$78="x",4)-IF($I$78="x",1)-IF($I$77="x",2)-IF($I$90="x",2)+IF($I$83="x",2)-IF($C$76="x",4)-$C$112+IF(H693="x",1)+I693+$M$77+IF(H695="x",1)+IF(J695="x",1)+IF($M$76="x",2)+J693+IF($M$85="x",1)+IF($M$113="x",1)+IF($M$120="x",2)+IF($M$119="x",2)+IF($M$105="x",1)+IF($M$110="x",1)+IF($M$111="x",2)+IF($M$112="x",4)+IF($M$108="x",1)-IF($M$109="x",1)-IF($M$99="x",1)+IF($M$90="x",1)-IF($C$97="x",4,8)
&amp;"/"&amp;SUM($C$3,$I$3)+IF(H697="x",1)+$I$16-$B$10+$M$94+IF($C$77="x",2)-IF($C$78="x",4)-IF($I$78="x",1)-IF($I$77="x",2)-IF($I$90="x",2)+IF($I$83="x",2)-IF($C$76="x",4)-$C$112+IF(H693="x",1)+I693+$M$77+IF(H695="x",1)+IF(J695="x",1)+IF($M$76="x",2)+J693+IF($M$85="x",1)+IF($M$113="x",1)+IF($M$120="x",2)+IF($M$119="x",2)+IF($M$105="x",1)+IF($M$110="x",1)+IF($M$111="x",2)+IF($M$112="x",4)+IF($M$108="x",1)-IF($M$109="x",1)-IF($M$99="x",1)+IF($M$90="x",1)-IF($C$97="x",4,10),
$I$3&lt;6,SUM($C$3,$I$3)+IF(H697="x",1)+$I$16-$B$10+$M$94+IF($C$77="x",2)-IF($C$78="x",4)-IF($I$78="x",1)-IF($I$77="x",2)-IF($I$90="x",2)+IF($I$83="x",2)-IF($C$76="x",4)-$C$112+IF(H693="x",1)+I693+$M$77+IF(H695="x",1)+IF(J695="x",1)+IF($M$76="x",2)+J693+IF($M$85="x",1)+IF($M$113="x",1)+IF($M$120="x",2)+IF($M$119="x",2)+IF($M$105="x",1)+IF($M$110="x",1)+IF($M$111="x",2)+IF($M$112="x",4)+IF($M$108="x",1)-IF($M$109="x",1)-IF($M$99="x",1)+IF($M$90="x",1),
$I$3&lt;11,SUM($C$3,$I$3)+IF(H697="x",1)+$I$16-$B$10+$M$94+IF($C$77="x",2)-IF($C$78="x",4)-IF($I$78="x",1)-IF($I$77="x",2)-IF($I$90="x",2)+IF($I$83="x",2)-IF($C$76="x",4)-$C$112+IF(H693="x",1)+I693+$M$77+IF(H695="x",1)+IF(J695="x",1)+IF($M$76="x",2)+J693+IF($M$85="x",1)+IF($M$113="x",1)+IF($M$120="x",2)+IF($M$119="x",2)+IF($M$105="x",1)+IF($M$110="x",1)+IF($M$111="x",2)+IF($M$112="x",4)+IF($M$108="x",1)-IF($M$109="x",1)-IF($M$99="x",1)+IF($M$90="x",1)
&amp;"/"&amp;SUM($C$3,$I$3)+IF(H697="x",1)+$I$16-$B$10+$M$94+IF($C$77="x",2)-IF($C$78="x",4)-IF($I$78="x",1)-IF($I$77="x",2)-IF($I$90="x",2)+IF($I$83="x",2)-IF($C$76="x",4)-$C$112+IF(H693="x",1)+I693+$M$77+IF(H695="x",1)+IF(J695="x",1)+IF($M$76="x",2)+J693+IF($M$85="x",1)+IF($M$113="x",1)+IF($M$120="x",2)+IF($M$119="x",2)+IF($M$105="x",1)+IF($M$110="x",1)+IF($M$111="x",2)+IF($M$112="x",4)+IF($M$108="x",1)-IF($M$109="x",1)-IF($M$99="x",1)+IF($M$90="x",1)-5,
$I$3&lt;16,SUM($C$3,$I$3)+IF(H697="x",1)+$I$16-$B$10+$M$94+IF($C$77="x",2)-IF($C$78="x",4)-IF($I$78="x",1)-IF($I$77="x",2)-IF($I$90="x",2)+IF($I$83="x",2)-IF($C$76="x",4)-$C$112+IF(H693="x",1)+I693+$M$77+IF(H695="x",1)+IF(J695="x",1)+IF($M$76="x",2)+J693+IF($M$85="x",1)+IF($M$113="x",1)+IF($M$120="x",2)+IF($M$119="x",2)+IF($M$105="x",1)+IF($M$110="x",1)+IF($M$111="x",2)+IF($M$112="x",4)+IF($M$108="x",1)-IF($M$109="x",1)-IF($M$99="x",1)+IF($M$90="x",1)
&amp;"/"&amp;SUM($C$3,$I$3)+IF(H697="x",1)+$I$16-$B$10+$M$94+IF($C$77="x",2)-IF($C$78="x",4)-IF($I$78="x",1)-IF($I$77="x",2)-IF($I$90="x",2)+IF($I$83="x",2)-IF($C$76="x",4)-$C$112+IF(H693="x",1)+I693+$M$77+IF(H695="x",1)+IF(J695="x",1)+IF($M$76="x",2)+J693+IF($M$85="x",1)+IF($M$113="x",1)+IF($M$120="x",2)+IF($M$119="x",2)+IF($M$105="x",1)+IF($M$110="x",1)+IF($M$111="x",2)+IF($M$112="x",4)+IF($M$108="x",1)-IF($M$109="x",1)-IF($M$99="x",1)+IF($M$90="x",1)-5
&amp;"/"&amp;SUM($C$3,$I$3)+IF(H697="x",1)+$I$16-$B$10+$M$94+IF($C$77="x",2)-IF($C$78="x",4)-IF($I$78="x",1)-IF($I$77="x",2)-IF($I$90="x",2)+IF($I$83="x",2)-IF($C$76="x",4)-$C$112+IF(H693="x",1)+I693+$M$77+IF(H695="x",1)+IF(J695="x",1)+IF($M$76="x",2)+J693+IF($M$85="x",1)+IF($M$113="x",1)+IF($M$120="x",2)+IF($M$119="x",2)+IF($M$105="x",1)+IF($M$110="x",1)+IF($M$111="x",2)+IF($M$112="x",4)+IF($M$108="x",1)-IF($M$109="x",1)-IF($M$99="x",1)+IF($M$90="x",1)-10,
$I$3&gt;=16,SUM($C$3,$I$3)+IF(H697="x",1)+$I$16-$B$10+$M$94+IF($C$77="x",2)-IF($C$78="x",4)-IF($I$78="x",1)-IF($I$77="x",2)-IF($I$90="x",2)+IF($I$83="x",2)-IF($C$76="x",4)-$C$112+IF(H693="x",1)+I693+$M$77+IF(H695="x",1)+IF(J695="x",1)+IF($M$76="x",2)+J693+IF($M$85="x",1)+IF($M$113="x",1)+IF($M$120="x",2)+IF($M$119="x",2)+IF($M$105="x",1)+IF($M$110="x",1)+IF($M$111="x",2)+IF($M$112="x",4)+IF($M$108="x",1)-IF($M$109="x",1)-IF($M$99="x",1)+IF($M$90="x",1)
&amp;"/"&amp;SUM($C$3,$I$3)+IF(H697="x",1)+$I$16-$B$10+$M$94+IF($C$77="x",2)-IF($C$78="x",4)-IF($I$78="x",1)-IF($I$77="x",2)-IF($I$90="x",2)+IF($I$83="x",2)-IF($C$76="x",4)-$C$112+IF(H693="x",1)+I693+$M$77+IF(H695="x",1)+IF(J695="x",1)+IF($M$76="x",2)+J693+IF($M$85="x",1)+IF($M$113="x",1)+IF($M$120="x",2)+IF($M$119="x",2)+IF($M$105="x",1)+IF($M$110="x",1)+IF($M$111="x",2)+IF($M$112="x",4)+IF($M$108="x",1)-IF($M$109="x",1)-IF($M$99="x",1)+IF($M$90="x",1)-5
&amp;"/"&amp;SUM($C$3,$I$3)+IF(H697="x",1)+$I$16-$B$10+$M$94+IF($C$77="x",2)-IF($C$78="x",4)-IF($I$78="x",1)-IF($I$77="x",2)-IF($I$90="x",2)+IF($I$83="x",2)-IF($C$76="x",4)-$C$112+IF(H693="x",1)+I693+$M$77+IF(H695="x",1)+IF(J695="x",1)+IF($M$76="x",2)+J693+IF($M$85="x",1)+IF($M$113="x",1)+IF($M$120="x",2)+IF($M$119="x",2)+IF($M$105="x",1)+IF($M$110="x",1)+IF($M$111="x",2)+IF($M$112="x",4)+IF($M$108="x",1)-IF($M$109="x",1)-IF($M$99="x",1)+IF($M$90="x",1)-10
&amp;"/"&amp;SUM($C$3,$I$3)+IF(H697="x",1)+$I$16-$B$10+$M$94+IF($C$77="x",2)-IF($C$78="x",4)-IF($I$78="x",1)-IF($I$77="x",2)-IF($I$90="x",2)+IF($I$83="x",2)-IF($C$76="x",4)-$C$112+IF(H693="x",1)+I693+$M$77+IF(H695="x",1)+IF(J695="x",1)+IF($M$76="x",2)+J693+IF($M$85="x",1)+IF($M$113="x",1)+IF($M$120="x",2)+IF($M$119="x",2)+IF($M$105="x",1)+IF($M$110="x",1)+IF($M$111="x",2)+IF($M$112="x",4)+IF($M$108="x",1)-IF($M$109="x",1)-IF($M$99="x",1)+IF($M$90="x",1)-15)</f>
        <v>0</v>
      </c>
      <c r="C693" s="49" t="str">
        <f>_xlfn.IFS($C$7="Minimaalinen","1n2",$C$7="Taskukokoinen","1n3",$C$7="Hyvin pieni","1n4",$C$7="Pieni","1n6",$C$7="Keskikokoinen","1n8",$C$7="Iso","2n6",$C$7="Valtava","3n6",$C$7="Suunnaton","4n6",$C$7="Giganttinen","6n6")</f>
        <v>1n8</v>
      </c>
      <c r="D693" s="51">
        <f>IF(H697="x",1,0)+IF(I695="x",2)+IF(K695="x",2)+I693+K693</f>
        <v>0</v>
      </c>
      <c r="E693" s="49" t="str">
        <f>_xlfn.IFS($C$7="Minimaalinen","2n2",$C$7="Taskukokoinen","2n3",$C$7="Hyvin pieni","2n4",$C$7="Pieni","2n6",$C$7="Keskikokoinen","2n8",$C$7="Iso","4n6",$C$7="Valtava","6n6",$C$7="Suunnaton","8n6",$C$7="Giganttinen","12n6")</f>
        <v>2n8</v>
      </c>
      <c r="F693" s="82">
        <f>SUM(D693*2)</f>
        <v>0</v>
      </c>
      <c r="G693" s="82" t="str">
        <f>(IF($I$89="x","50 %","")&amp;(IF($C$81="x","20 %",""))&amp;(IF($C$82="x","50 %",""&amp;IF($M$91="x","50 % (5 j 20 %)",""&amp;IF($M$115="x","50 % (5 j 20 %)","")))))</f>
        <v/>
      </c>
      <c r="H693" s="28"/>
      <c r="I693" s="17">
        <v>0</v>
      </c>
      <c r="J693" s="17">
        <v>0</v>
      </c>
      <c r="K693" s="17">
        <v>0</v>
      </c>
      <c r="AB693" s="46"/>
      <c r="AC693" s="48"/>
      <c r="AD693" s="48"/>
      <c r="AE693" s="48"/>
      <c r="AF693" s="48"/>
      <c r="AG693" s="48"/>
      <c r="AH693" s="48"/>
      <c r="AI693" s="48"/>
      <c r="AJ693" s="48"/>
      <c r="AK693" s="48"/>
      <c r="AL693" s="48"/>
    </row>
    <row r="694" spans="1:38" x14ac:dyDescent="0.2">
      <c r="A694" s="127">
        <f>A693*2</f>
        <v>160</v>
      </c>
      <c r="B694" s="123">
        <f>_xlfn.IFS($I$85="x","PAINISSA",
I697="x",SUM($C$3,$I$3)+IF(H697="x",1)+$I$16-$B$10+$M$94+IF($C$77="x",2)-IF($C$78="x",4)-IF($I$78="x",1)-IF($I$77="x",2)-IF($I$90="x",2)+IF($I$83="x",2)-IF($C$76="x",4)-$C$112+IF(H693="x",1)+I693+$M$77+IF(H695="x",1)+IF(J695="x",1)+IF($M$76="x",2)+J693+IF($M$85="x",1)+IF($M$113="x",1)+IF($M$120="x",2)+IF($M$119="x",2)+IF($M$105="x",1)+IF($M$110="x",1)+IF($M$111="x",2)+IF($M$112="x",4)+IF($M$108="x",1)-IF($M$109="x",1)-IF($M$99="x",1)+IF($M$90="x",1)-2-2,
J697="x",SUM($C$3,$I$3)+IF(H697="x",1)+$I$16-$B$10+$M$94+IF($C$77="x",2)-IF($C$78="x",4)-IF($I$78="x",1)-IF($I$77="x",2)-IF($I$90="x",2)+IF($I$83="x",2)-IF($C$76="x",4)-$C$112+IF(H693="x",1)+I693+$M$77+IF(H695="x",1)+IF(J695="x",1)+IF($M$76="x",2)+J693+IF($M$85="x",1)+IF($M$113="x",1)+IF($M$120="x",2)+IF($M$119="x",2)+IF($M$105="x",1)+IF($M$110="x",1)+IF($M$111="x",2)+IF($M$112="x",4)+IF($M$108="x",1)-IF($M$109="x",1)-IF($M$99="x",1)+IF($M$90="x",1)-IF($C$97="x",4,8)-2
&amp;"/"&amp;SUM($C$3,$I$3)+IF(H697="x",1)+$I$16-$B$10+$M$94+IF($C$77="x",2)-IF($C$78="x",4)-IF($I$78="x",1)-IF($I$77="x",2)-IF($I$90="x",2)+IF($I$83="x",2)-IF($C$76="x",4)-$C$112+IF(H693="x",1)+I693+$M$77+IF(H695="x",1)+IF(J695="x",1)+IF($M$76="x",2)+J693+IF($M$85="x",1)+IF($M$113="x",1)+IF($M$120="x",2)+IF($M$119="x",2)+IF($M$105="x",1)+IF($M$110="x",1)+IF($M$111="x",2)+IF($M$112="x",4)+IF($M$108="x",1)-IF($M$109="x",1)-IF($M$99="x",1)+IF($M$90="x",1)-IF($C$97="x",4,10)-2,
$I$3&lt;6,SUM($C$3,$I$3)+IF(H697="x",1)-2+$I$16-$B$10+$M$94+IF($C$77="x",2)-IF($C$78="x",4)-IF($I$78="x",1)-IF($I$77="x",2)-IF($I$90="x",2)+IF($I$83="x",2)-IF($C$76="x",4)-$C$112+IF(H693="x",1)+I693+$M$77+IF(H695="x",1)+IF(J695="x",1)+IF($M$76="x",2)+J693+IF($M$85="x",1)+IF($M$113="x",1)+IF($M$120="x",2)+IF($M$119="x",2)+IF($M$105="x",1)+IF($M$110="x",1)+IF($M$111="x",2)+IF($M$112="x",4)+IF($M$108="x",1)-IF($M$109="x",1)-IF($M$99="x",1)+IF($M$90="x",1),
$I$3&lt;11,SUM($C$3,$I$3)+IF(H697="x",1)-2+$I$16-$B$10+$M$94+IF($C$77="x",2)-IF($C$78="x",4)-IF($I$78="x",1)-IF($I$77="x",2)-IF($I$90="x",2)+IF($I$83="x",2)-IF($C$76="x",4)-$C$112+IF(H693="x",1)+I693+$M$77+IF(H695="x",1)+IF(J695="x",1)+IF($M$76="x",2)+J693+IF($M$85="x",1)+IF($M$113="x",1)+IF($M$120="x",2)+IF($M$119="x",2)+IF($M$105="x",1)+IF($M$110="x",1)+IF($M$111="x",2)+IF($M$112="x",4)+IF($M$108="x",1)-IF($M$109="x",1)-IF($M$99="x",1)+IF($M$90="x",1)
&amp;"/"&amp;SUM($C$3,$I$3)+IF(H697="x",1)-2+$I$16-$B$10+$M$94+IF($C$77="x",2)-IF($C$78="x",4)-IF($I$78="x",1)-IF($I$77="x",2)-IF($I$90="x",2)+IF($I$83="x",2)-IF($C$76="x",4)-$C$112+IF(H693="x",1)+I693+$M$77+IF(H695="x",1)+IF(J695="x",1)+IF($M$76="x",2)+J693+IF($M$85="x",1)+IF($M$113="x",1)+IF($M$120="x",2)+IF($M$119="x",2)+IF($M$105="x",1)+IF($M$110="x",1)+IF($M$111="x",2)+IF($M$112="x",4)+IF($M$108="x",1)-IF($M$109="x",1)-IF($M$99="x",1)+IF($M$90="x",1)-5,
$I$3&lt;16,SUM($C$3,$I$3)+IF(H697="x",1)-2+$I$16-$B$10+$M$94+IF($C$77="x",2)-IF($C$78="x",4)-IF($I$78="x",1)-IF($I$77="x",2)-IF($I$90="x",2)+IF($I$83="x",2)-IF($C$76="x",4)-$C$112+IF(H693="x",1)+I693+$M$77+IF(H695="x",1)+IF(J695="x",1)+IF($M$76="x",2)+J693+IF($M$85="x",1)+IF($M$113="x",1)+IF($M$120="x",2)+IF($M$119="x",2)+IF($M$105="x",1)+IF($M$110="x",1)+IF($M$111="x",2)+IF($M$112="x",4)+IF($M$108="x",1)-IF($M$109="x",1)-IF($M$99="x",1)+IF($M$90="x",1)
&amp;"/"&amp;SUM($C$3,$I$3)+IF(H697="x",1)-2+$I$16-$B$10+$M$94+IF($C$77="x",2)-IF($C$78="x",4)-IF($I$78="x",1)-IF($I$77="x",2)-IF($I$90="x",2)+IF($I$83="x",2)-IF($C$76="x",4)-$C$112+IF(H693="x",1)+I693+$M$77+IF(H695="x",1)+IF(J695="x",1)+IF($M$76="x",2)+J693+IF($M$85="x",1)+IF($M$113="x",1)+IF($M$120="x",2)+IF($M$119="x",2)+IF($M$105="x",1)+IF($M$110="x",1)+IF($M$111="x",2)+IF($M$112="x",4)+IF($M$108="x",1)-IF($M$109="x",1)-IF($M$99="x",1)+IF($M$90="x",1)-5
&amp;"/"&amp;SUM($C$3,$I$3)+IF(H697="x",1)-2+$I$16-$B$10+$M$94+IF($C$77="x",2)-IF($C$78="x",4)-IF($I$78="x",1)-IF($I$77="x",2)-IF($I$90="x",2)+IF($I$83="x",2)-IF($C$76="x",4)-$C$112+IF(H693="x",1)+I693+$M$77+IF(H695="x",1)+IF(J695="x",1)+IF($M$76="x",2)+J693+IF($M$85="x",1)+IF($M$113="x",1)+IF($M$120="x",2)+IF($M$119="x",2)+IF($M$105="x",1)+IF($M$110="x",1)+IF($M$111="x",2)+IF($M$112="x",4)+IF($M$108="x",1)-IF($M$109="x",1)-IF($M$99="x",1)+IF($M$90="x",1)-10,
$I$3&gt;=16,SUM($C$3,$I$3)+IF(H697="x",1)-2+$I$16-$B$10+$M$94+IF($C$77="x",2)-IF($C$78="x",4)-IF($I$78="x",1)-IF($I$77="x",2)-IF($I$90="x",2)+IF($I$83="x",2)-IF($C$76="x",4)-$C$112+IF(H693="x",1)+I693+$M$77+IF(H695="x",1)+IF(J695="x",1)+IF($M$76="x",2)+J693+IF($M$85="x",1)+IF($M$113="x",1)+IF($M$120="x",2)+IF($M$119="x",2)+IF($M$105="x",1)+IF($M$110="x",1)+IF($M$111="x",2)+IF($M$112="x",4)+IF($M$108="x",1)-IF($M$109="x",1)-IF($M$99="x",1)+IF($M$90="x",1)
&amp;"/"&amp;SUM($C$3,$I$3)+IF(H697="x",1)-2+$I$16-$B$10+$M$94+IF($C$77="x",2)-IF($C$78="x",4)-IF($I$78="x",1)-IF($I$77="x",2)-IF($I$90="x",2)+IF($I$83="x",2)-IF($C$76="x",4)-$C$112+IF(H693="x",1)+I693+$M$77+IF(H695="x",1)+IF(J695="x",1)+IF($M$76="x",2)+J693+IF($M$85="x",1)+IF($M$113="x",1)+IF($M$120="x",2)+IF($M$119="x",2)+IF($M$105="x",1)+IF($M$110="x",1)+IF($M$111="x",2)+IF($M$112="x",4)+IF($M$108="x",1)-IF($M$109="x",1)-IF($M$99="x",1)+IF($M$90="x",1)-5
&amp;"/"&amp;SUM($C$3,$I$3)+IF(H697="x",1)-2+$I$16-$B$10+$M$94+IF($C$77="x",2)-IF($C$78="x",4)-IF($I$78="x",1)-IF($I$77="x",2)-IF($I$90="x",2)+IF($I$83="x",2)-IF($C$76="x",4)-$C$112+IF(H693="x",1)+I693+$M$77+IF(H695="x",1)+IF(J695="x",1)+IF($M$76="x",2)+J693+IF($M$85="x",1)+IF($M$113="x",1)+IF($M$120="x",2)+IF($M$119="x",2)+IF($M$105="x",1)+IF($M$110="x",1)+IF($M$111="x",2)+IF($M$112="x",4)+IF($M$108="x",1)-IF($M$109="x",1)-IF($M$99="x",1)+IF($M$90="x",1)-10
&amp;"/"&amp;SUM($C$3,$I$3)+IF(H697="x",1)-2+$I$16-$B$10+$M$94+IF($C$77="x",2)-IF($C$78="x",4)-IF($I$78="x",1)-IF($I$77="x",2)-IF($I$90="x",2)+IF($I$83="x",2)-IF($C$76="x",4)-$C$112+IF(H693="x",1)+I693+$M$77+IF(H695="x",1)+IF(J695="x",1)+IF($M$76="x",2)+J693+IF($M$85="x",1)+IF($M$113="x",1)+IF($M$120="x",2)+IF($M$119="x",2)+IF($M$105="x",1)+IF($M$110="x",1)+IF($M$111="x",2)+IF($M$112="x",4)+IF($M$108="x",1)-IF($M$109="x",1)-IF($M$99="x",1)+IF($M$90="x",1)-15)</f>
        <v>-2</v>
      </c>
      <c r="C694" s="82"/>
      <c r="D694" s="121"/>
      <c r="E694" s="82"/>
      <c r="F694" s="82"/>
      <c r="G694" s="82"/>
      <c r="H694" s="14" t="s">
        <v>220</v>
      </c>
      <c r="I694" s="14" t="s">
        <v>221</v>
      </c>
      <c r="J694" s="14" t="s">
        <v>222</v>
      </c>
      <c r="K694" s="14" t="s">
        <v>223</v>
      </c>
      <c r="AB694" s="46"/>
      <c r="AC694" s="48"/>
      <c r="AD694" s="48"/>
      <c r="AE694" s="48"/>
      <c r="AF694" s="48"/>
      <c r="AG694" s="48"/>
      <c r="AH694" s="48"/>
      <c r="AI694" s="48"/>
      <c r="AJ694" s="48"/>
      <c r="AK694" s="48"/>
      <c r="AL694" s="48"/>
    </row>
    <row r="695" spans="1:38" x14ac:dyDescent="0.2">
      <c r="A695" s="126">
        <f>A693*3</f>
        <v>240</v>
      </c>
      <c r="B695" s="121">
        <f>_xlfn.IFS($I$85="x","PAINISSA",
I697="x",SUM($C$3,$I$3)+IF(H697="x",1)+$I$16-$B$10+$M$94+IF($C$77="x",2)-IF($C$78="x",4)-IF($I$78="x",1)-IF($I$77="x",2)-IF($I$90="x",2)+IF($I$83="x",2)-IF($C$76="x",4)-$C$112+IF(H693="x",1)+I693+$M$77+IF(H695="x",1)+IF(J695="x",1)+IF($M$76="x",2)+J693+IF($M$85="x",1)+IF($M$113="x",1)+IF($M$120="x",2)+IF($M$119="x",2)+IF($M$105="x",1)+IF($M$110="x",1)+IF($M$111="x",2)+IF($M$112="x",4)+IF($M$108="x",1)-IF($M$109="x",1)-IF($M$99="x",1)+IF($M$90="x",1)-2-4,
J697="x",SUM($C$3,$I$3)+IF(H697="x",1)+$I$16-$B$10+$M$94+IF($C$77="x",2)-IF($C$78="x",4)-IF($I$78="x",1)-IF($I$77="x",2)-IF($I$90="x",2)+IF($I$83="x",2)-IF($C$76="x",4)-$C$112+IF(H693="x",1)+I693+$M$77+IF(H695="x",1)+IF(J695="x",1)+IF($M$76="x",2)+J693+IF($M$85="x",1)+IF($M$113="x",1)+IF($M$120="x",2)+IF($M$119="x",2)+IF($M$105="x",1)+IF($M$110="x",1)+IF($M$111="x",2)+IF($M$112="x",4)+IF($M$108="x",1)-IF($M$109="x",1)-IF($M$99="x",1)+IF($M$90="x",1)-IF($C$97="x",4,8)-4
&amp;"/"&amp;SUM($C$3,$I$3)+IF(H697="x",1)+$I$16-$B$10+$M$94+IF($C$77="x",2)-IF($C$78="x",4)-IF($I$78="x",1)-IF($I$77="x",2)-IF($I$90="x",2)+IF($I$83="x",2)-IF($C$76="x",4)-$C$112+IF(H693="x",1)+I693+$M$77+IF(H695="x",1)+IF(J695="x",1)+IF($M$76="x",2)+J693+IF($M$85="x",1)+IF($M$113="x",1)+IF($M$120="x",2)+IF($M$119="x",2)+IF($M$105="x",1)+IF($M$110="x",1)+IF($M$111="x",2)+IF($M$112="x",4)+IF($M$108="x",1)-IF($M$109="x",1)-IF($M$99="x",1)+IF($M$90="x",1)-IF($C$97="x",4,10)-4,
$I$3&lt;6,SUM($C$3,$I$3)+IF(H697="x",1)-4+$I$16-$B$10+$M$94+IF($C$77="x",2)-IF($C$78="x",4)-IF($I$78="x",1)-IF($I$77="x",2)-IF($I$90="x",2)+IF($I$83="x",2)-IF($C$76="x",4)-$C$112+IF(H693="x",1)+I693+$M$77+IF(H695="x",1)+IF(J695="x",1)+IF($M$76="x",2)+J693+IF($M$85="x",1)+IF($M$113="x",1)+IF($M$120="x",2)+IF($M$119="x",2)+IF($M$105="x",1)+IF($M$110="x",1)+IF($M$111="x",2)+IF($M$112="x",4)+IF($M$108="x",1)-IF($M$109="x",1)-IF($M$99="x",1)+IF($M$90="x",1),
$I$3&lt;11,SUM($C$3,$I$3)+IF(H697="x",1)-4+$I$16-$B$10+$M$94+IF($C$77="x",2)-IF($C$78="x",4)-IF($I$78="x",1)-IF($I$77="x",2)-IF($I$90="x",2)+IF($I$83="x",2)-IF($C$76="x",4)-$C$112+IF(H693="x",1)+I693+$M$77+IF(H695="x",1)+IF(J695="x",1)+IF($M$76="x",2)+J693+IF($M$85="x",1)+IF($M$113="x",1)+IF($M$120="x",2)+IF($M$119="x",2)+IF($M$105="x",1)+IF($M$110="x",1)+IF($M$111="x",2)+IF($M$112="x",4)+IF($M$108="x",1)-IF($M$109="x",1)-IF($M$99="x",1)+IF($M$90="x",1)
&amp;"/"&amp;SUM($C$3,$I$3)+IF(H697="x",1)-4+$I$16-$B$10+$M$94+IF($C$77="x",2)-IF($C$78="x",4)-IF($I$78="x",1)-IF($I$77="x",2)-IF($I$90="x",2)+IF($I$83="x",2)-IF($C$76="x",4)-$C$112+IF(H693="x",1)+I693+$M$77+IF(H695="x",1)+IF(J695="x",1)+IF($M$76="x",2)+J693+IF($M$85="x",1)+IF($M$113="x",1)+IF($M$120="x",2)+IF($M$119="x",2)+IF($M$105="x",1)+IF($M$110="x",1)+IF($M$111="x",2)+IF($M$112="x",4)+IF($M$108="x",1)-IF($M$109="x",1)-IF($M$99="x",1)+IF($M$90="x",1)-5,
$I$3&lt;16,SUM($C$3,$I$3)+IF(H697="x",1)-4+$I$16-$B$10+$M$94+IF($C$77="x",2)-IF($C$78="x",4)-IF($I$78="x",1)-IF($I$77="x",2)-IF($I$90="x",2)+IF($I$83="x",2)-IF($C$76="x",4)-$C$112+IF(H693="x",1)+I693+$M$77+IF(H695="x",1)+IF(J695="x",1)+IF($M$76="x",2)+J693+IF($M$85="x",1)+IF($M$113="x",1)+IF($M$120="x",2)+IF($M$119="x",2)+IF($M$105="x",1)+IF($M$110="x",1)+IF($M$111="x",2)+IF($M$112="x",4)+IF($M$108="x",1)-IF($M$109="x",1)-IF($M$99="x",1)+IF($M$90="x",1)
&amp;"/"&amp;SUM($C$3,$I$3)+IF(H697="x",1)-4+$I$16-$B$10+$M$94+IF($C$77="x",2)-IF($C$78="x",4)-IF($I$78="x",1)-IF($I$77="x",2)-IF($I$90="x",2)+IF($I$83="x",2)-IF($C$76="x",4)-$C$112+IF(H693="x",1)+I693+$M$77+IF(H695="x",1)+IF(J695="x",1)+IF($M$76="x",2)+J693+IF($M$85="x",1)+IF($M$113="x",1)+IF($M$120="x",2)+IF($M$119="x",2)+IF($M$105="x",1)+IF($M$110="x",1)+IF($M$111="x",2)+IF($M$112="x",4)+IF($M$108="x",1)-IF($M$109="x",1)-IF($M$99="x",1)+IF($M$90="x",1)-5
&amp;"/"&amp;SUM($C$3,$I$3)+IF(H697="x",1)-4+$I$16-$B$10+$M$94+IF($C$77="x",2)-IF($C$78="x",4)-IF($I$78="x",1)-IF($I$77="x",2)-IF($I$90="x",2)+IF($I$83="x",2)-IF($C$76="x",4)-$C$112+IF(H693="x",1)+I693+$M$77+IF(H695="x",1)+IF(J695="x",1)+IF($M$76="x",2)+J693+IF($M$85="x",1)+IF($M$113="x",1)+IF($M$120="x",2)+IF($M$119="x",2)+IF($M$105="x",1)+IF($M$110="x",1)+IF($M$111="x",2)+IF($M$112="x",4)+IF($M$108="x",1)-IF($M$109="x",1)-IF($M$99="x",1)+IF($M$90="x",1)-10,
$I$3&gt;=16,SUM($C$3,$I$3)+IF(H697="x",1)-4+$I$16-$B$10+$M$94+IF($C$77="x",2)-IF($C$78="x",4)-IF($I$78="x",1)-IF($I$77="x",2)-IF($I$90="x",2)+IF($I$83="x",2)-IF($C$76="x",4)-$C$112+IF(H693="x",1)+I693+$M$77+IF(H695="x",1)+IF(J695="x",1)+IF($M$76="x",2)+J693+IF($M$85="x",1)+IF($M$113="x",1)+IF($M$120="x",2)+IF($M$119="x",2)+IF($M$105="x",1)+IF($M$110="x",1)+IF($M$111="x",2)+IF($M$112="x",4)+IF($M$108="x",1)-IF($M$109="x",1)-IF($M$99="x",1)+IF($M$90="x",1)
&amp;"/"&amp;SUM($C$3,$I$3)+IF(H697="x",1)-4+$I$16-$B$10+$M$94+IF($C$77="x",2)-IF($C$78="x",4)-IF($I$78="x",1)-IF($I$77="x",2)-IF($I$90="x",2)+IF($I$83="x",2)-IF($C$76="x",4)-$C$112+IF(H693="x",1)+I693+$M$77+IF(H695="x",1)+IF(J695="x",1)+IF($M$76="x",2)+J693+IF($M$85="x",1)+IF($M$113="x",1)+IF($M$120="x",2)+IF($M$119="x",2)+IF($M$105="x",1)+IF($M$110="x",1)+IF($M$111="x",2)+IF($M$112="x",4)+IF($M$108="x",1)-IF($M$109="x",1)-IF($M$99="x",1)+IF($M$90="x",1)-5
&amp;"/"&amp;SUM($C$3,$I$3)+IF(H697="x",1)-4+$I$16-$B$10+$M$94+IF($C$77="x",2)-IF($C$78="x",4)-IF($I$78="x",1)-IF($I$77="x",2)-IF($I$90="x",2)+IF($I$83="x",2)-IF($C$76="x",4)-$C$112+IF(H693="x",1)+I693+$M$77+IF(H695="x",1)+IF(J695="x",1)+IF($M$76="x",2)+J693+IF($M$85="x",1)+IF($M$113="x",1)+IF($M$120="x",2)+IF($M$119="x",2)+IF($M$105="x",1)+IF($M$110="x",1)+IF($M$111="x",2)+IF($M$112="x",4)+IF($M$108="x",1)-IF($M$109="x",1)-IF($M$99="x",1)+IF($M$90="x",1)-10
&amp;"/"&amp;SUM($C$3,$I$3)+IF(H697="x",1)-4+$I$16-$B$10+$M$94+IF($C$77="x",2)-IF($C$78="x",4)-IF($I$78="x",1)-IF($I$77="x",2)-IF($I$90="x",2)+IF($I$83="x",2)-IF($C$76="x",4)-$C$112+IF(H693="x",1)+I693+$M$77+IF(H695="x",1)+IF(J695="x",1)+IF($M$76="x",2)+J693+IF($M$85="x",1)+IF($M$113="x",1)+IF($M$120="x",2)+IF($M$119="x",2)+IF($M$105="x",1)+IF($M$110="x",1)+IF($M$111="x",2)+IF($M$112="x",4)+IF($M$108="x",1)-IF($M$109="x",1)-IF($M$99="x",1)+IF($M$90="x",1)-15)</f>
        <v>-4</v>
      </c>
      <c r="C695" s="82"/>
      <c r="D695" s="121"/>
      <c r="E695" s="82"/>
      <c r="F695" s="82"/>
      <c r="G695" s="82"/>
      <c r="H695" s="28"/>
      <c r="I695" s="28"/>
      <c r="J695" s="28"/>
      <c r="K695" s="28"/>
      <c r="AB695" s="59"/>
      <c r="AC695" s="51"/>
      <c r="AD695" s="49"/>
      <c r="AE695" s="51"/>
      <c r="AF695" s="49"/>
      <c r="AG695" s="49"/>
      <c r="AH695" s="49"/>
      <c r="AI695" s="40"/>
      <c r="AJ695" s="66"/>
      <c r="AK695" s="66"/>
      <c r="AL695" s="66"/>
    </row>
    <row r="696" spans="1:38" x14ac:dyDescent="0.2">
      <c r="A696" s="127">
        <f>A693*4</f>
        <v>320</v>
      </c>
      <c r="B696" s="123">
        <f>_xlfn.IFS($I$85="x","PAINISSA",
I697="x",SUM($C$3,$I$3)+IF(H697="x",1)+$I$16-$B$10+$M$94+IF($C$77="x",2)-IF($C$78="x",4)-IF($I$78="x",1)-IF($I$77="x",2)-IF($I$90="x",2)+IF($I$83="x",2)-IF($C$76="x",4)-$C$112+IF(H693="x",1)+I693+$M$77+IF(H695="x",1)+IF(J695="x",1)+IF($M$76="x",2)+J693+IF($M$85="x",1)+IF($M$113="x",1)+IF($M$120="x",2)+IF($M$119="x",2)+IF($M$105="x",1)+IF($M$110="x",1)+IF($M$111="x",2)+IF($M$112="x",4)+IF($M$108="x",1)-IF($M$109="x",1)-IF($M$99="x",1)+IF($M$90="x",1)-2-6,
J697="x",SUM($C$3,$I$3)+IF(H697="x",1)+$I$16-$B$10+$M$94+IF($C$77="x",2)-IF($C$78="x",4)-IF($I$78="x",1)-IF($I$77="x",2)-IF($I$90="x",2)+IF($I$83="x",2)-IF($C$76="x",4)-$C$112+IF(H693="x",1)+I693+$M$77+IF(H695="x",1)+IF(J695="x",1)+IF($M$76="x",2)+J693+IF($M$85="x",1)+IF($M$113="x",1)+IF($M$120="x",2)+IF($M$119="x",2)+IF($M$105="x",1)+IF($M$110="x",1)+IF($M$111="x",2)+IF($M$112="x",4)+IF($M$108="x",1)-IF($M$109="x",1)-IF($M$99="x",1)+IF($M$90="x",1)-IF($C$97="x",4,8)-6
&amp;"/"&amp;SUM($C$3,$I$3)+IF(H697="x",1)+$I$16-$B$10+$M$94+IF($C$77="x",2)-IF($C$78="x",4)-IF($I$78="x",1)-IF($I$77="x",2)-IF($I$90="x",2)+IF($I$83="x",2)-IF($C$76="x",4)-$C$112+IF(H693="x",1)+I693+$M$77+IF(H695="x",1)+IF(J695="x",1)+IF($M$76="x",2)+J693+IF($M$85="x",1)+IF($M$113="x",1)+IF($M$120="x",2)+IF($M$119="x",2)+IF($M$105="x",1)+IF($M$110="x",1)+IF($M$111="x",2)+IF($M$112="x",4)+IF($M$108="x",1)-IF($M$109="x",1)-IF($M$99="x",1)+IF($M$90="x",1)-IF($C$97="x",4,10)-6,
$I$3&lt;6,SUM($C$3,$I$3)+IF(H697="x",1)-6+$I$16-$B$10+$M$94+IF($C$77="x",2)-IF($C$78="x",4)-IF($I$78="x",1)-IF($I$77="x",2)-IF($I$90="x",2)+IF($I$83="x",2)-IF($C$76="x",4)-$C$112+IF(H693="x",1)+I693+$M$77+IF(H695="x",1)+IF(J695="x",1)+IF($M$76="x",2)+J693+IF($M$85="x",1)+IF($M$113="x",1)+IF($M$120="x",2)+IF($M$119="x",2)+IF($M$105="x",1)+IF($M$110="x",1)+IF($M$111="x",2)+IF($M$112="x",4)+IF($M$108="x",1)-IF($M$109="x",1)-IF($M$99="x",1)+IF($M$90="x",1),
$I$3&lt;11,SUM($C$3,$I$3)+IF(H697="x",1)-6+$I$16-$B$10+$M$94+IF($C$77="x",2)-IF($C$78="x",4)-IF($I$78="x",1)-IF($I$77="x",2)-IF($I$90="x",2)+IF($I$83="x",2)-IF($C$76="x",4)-$C$112+IF(H693="x",1)+I693+$M$77+IF(H695="x",1)+IF(J695="x",1)+IF($M$76="x",2)+J693+IF($M$85="x",1)+IF($M$113="x",1)+IF($M$120="x",2)+IF($M$119="x",2)+IF($M$105="x",1)+IF($M$110="x",1)+IF($M$111="x",2)+IF($M$112="x",4)+IF($M$108="x",1)-IF($M$109="x",1)-IF($M$99="x",1)+IF($M$90="x",1)
&amp;"/"&amp;SUM($C$3,$I$3)+IF(H697="x",1)-6+$I$16-$B$10+$M$94+IF($C$77="x",2)-IF($C$78="x",4)-IF($I$78="x",1)-IF($I$77="x",2)-IF($I$90="x",2)+IF($I$83="x",2)-IF($C$76="x",4)-$C$112+IF(H693="x",1)+I693+$M$77+IF(H695="x",1)+IF(J695="x",1)+IF($M$76="x",2)+J693+IF($M$85="x",1)+IF($M$113="x",1)+IF($M$120="x",2)+IF($M$119="x",2)+IF($M$105="x",1)+IF($M$110="x",1)+IF($M$111="x",2)+IF($M$112="x",4)+IF($M$108="x",1)-IF($M$109="x",1)-IF($M$99="x",1)+IF($M$90="x",1)-5,
$I$3&lt;16,SUM($C$3,$I$3)+IF(H697="x",1)-6+$I$16-$B$10+$M$94+IF($C$77="x",2)-IF($C$78="x",4)-IF($I$78="x",1)-IF($I$77="x",2)-IF($I$90="x",2)+IF($I$83="x",2)-IF($C$76="x",4)-$C$112+IF(H693="x",1)+I693+$M$77+IF(H695="x",1)+IF(J695="x",1)+IF($M$76="x",2)+J693+IF($M$85="x",1)+IF($M$113="x",1)+IF($M$120="x",2)+IF($M$119="x",2)+IF($M$105="x",1)+IF($M$110="x",1)+IF($M$111="x",2)+IF($M$112="x",4)+IF($M$108="x",1)-IF($M$109="x",1)-IF($M$99="x",1)+IF($M$90="x",1)
&amp;"/"&amp;SUM($C$3,$I$3)+IF(H697="x",1)-6+$I$16-$B$10+$M$94+IF($C$77="x",2)-IF($C$78="x",4)-IF($I$78="x",1)-IF($I$77="x",2)-IF($I$90="x",2)+IF($I$83="x",2)-IF($C$76="x",4)-$C$112+IF(H693="x",1)+I693+$M$77+IF(H695="x",1)+IF(J695="x",1)+IF($M$76="x",2)+J693+IF($M$85="x",1)+IF($M$113="x",1)+IF($M$120="x",2)+IF($M$119="x",2)+IF($M$105="x",1)+IF($M$110="x",1)+IF($M$111="x",2)+IF($M$112="x",4)+IF($M$108="x",1)-IF($M$109="x",1)-IF($M$99="x",1)+IF($M$90="x",1)-5
&amp;"/"&amp;SUM($C$3,$I$3)+IF(H697="x",1)-6+$I$16-$B$10+$M$94+IF($C$77="x",2)-IF($C$78="x",4)-IF($I$78="x",1)-IF($I$77="x",2)-IF($I$90="x",2)+IF($I$83="x",2)-IF($C$76="x",4)-$C$112+IF(H693="x",1)+I693+$M$77+IF(H695="x",1)+IF(J695="x",1)+IF($M$76="x",2)+J693+IF($M$85="x",1)+IF($M$113="x",1)+IF($M$120="x",2)+IF($M$119="x",2)+IF($M$105="x",1)+IF($M$110="x",1)+IF($M$111="x",2)+IF($M$112="x",4)+IF($M$108="x",1)-IF($M$109="x",1)-IF($M$99="x",1)+IF($M$90="x",1)-10,
$I$3&gt;=16,SUM($C$3,$I$3)+IF(H697="x",1)-6+$I$16-$B$10+$M$94+IF($C$77="x",2)-IF($C$78="x",4)-IF($I$78="x",1)-IF($I$77="x",2)-IF($I$90="x",2)+IF($I$83="x",2)-IF($C$76="x",4)-$C$112+IF(H693="x",1)+I693+$M$77+IF(H695="x",1)+IF(J695="x",1)+IF($M$76="x",2)+J693+IF($M$85="x",1)+IF($M$113="x",1)+IF($M$120="x",2)+IF($M$119="x",2)+IF($M$105="x",1)+IF($M$110="x",1)+IF($M$111="x",2)+IF($M$112="x",4)+IF($M$108="x",1)-IF($M$109="x",1)-IF($M$99="x",1)+IF($M$90="x",1)
&amp;"/"&amp;SUM($C$3,$I$3)+IF(H697="x",1)-6+$I$16-$B$10+$M$94+IF($C$77="x",2)-IF($C$78="x",4)-IF($I$78="x",1)-IF($I$77="x",2)-IF($I$90="x",2)+IF($I$83="x",2)-IF($C$76="x",4)-$C$112+IF(H693="x",1)+I693+$M$77+IF(H695="x",1)+IF(J695="x",1)+IF($M$76="x",2)+J693+IF($M$85="x",1)+IF($M$113="x",1)+IF($M$120="x",2)+IF($M$119="x",2)+IF($M$105="x",1)+IF($M$110="x",1)+IF($M$111="x",2)+IF($M$112="x",4)+IF($M$108="x",1)-IF($M$109="x",1)-IF($M$99="x",1)+IF($M$90="x",1)-5
&amp;"/"&amp;SUM($C$3,$I$3)+IF(H697="x",1)-6+$I$16-$B$10+$M$94+IF($C$77="x",2)-IF($C$78="x",4)-IF($I$78="x",1)-IF($I$77="x",2)-IF($I$90="x",2)+IF($I$83="x",2)-IF($C$76="x",4)-$C$112+IF(H693="x",1)+I693+$M$77+IF(H695="x",1)+IF(J695="x",1)+IF($M$76="x",2)+J693+IF($M$85="x",1)+IF($M$113="x",1)+IF($M$120="x",2)+IF($M$119="x",2)+IF($M$105="x",1)+IF($M$110="x",1)+IF($M$111="x",2)+IF($M$112="x",4)+IF($M$108="x",1)-IF($M$109="x",1)-IF($M$99="x",1)+IF($M$90="x",1)-10
&amp;"/"&amp;SUM($C$3,$I$3)+IF(H697="x",1)-6+$I$16-$B$10+$M$94+IF($C$77="x",2)-IF($C$78="x",4)-IF($I$78="x",1)-IF($I$77="x",2)-IF($I$90="x",2)+IF($I$83="x",2)-IF($C$76="x",4)-$C$112+IF(H693="x",1)+I693+$M$77+IF(H695="x",1)+IF(J695="x",1)+IF($M$76="x",2)+J693+IF($M$85="x",1)+IF($M$113="x",1)+IF($M$120="x",2)+IF($M$119="x",2)+IF($M$105="x",1)+IF($M$110="x",1)+IF($M$111="x",2)+IF($M$112="x",4)+IF($M$108="x",1)-IF($M$109="x",1)-IF($M$99="x",1)+IF($M$90="x",1)-15)</f>
        <v>-6</v>
      </c>
      <c r="C696" s="82"/>
      <c r="D696" s="121"/>
      <c r="E696" s="82"/>
      <c r="F696" s="82"/>
      <c r="G696" s="82"/>
      <c r="H696" s="14" t="s">
        <v>182</v>
      </c>
      <c r="I696" s="11" t="s">
        <v>246</v>
      </c>
      <c r="J696" s="11" t="s">
        <v>247</v>
      </c>
      <c r="AB696" s="62"/>
      <c r="AC696" s="53"/>
      <c r="AD696" s="49"/>
      <c r="AE696" s="51"/>
      <c r="AF696" s="49"/>
      <c r="AG696" s="49"/>
      <c r="AH696" s="49"/>
      <c r="AI696" s="48"/>
      <c r="AJ696" s="48"/>
      <c r="AK696" s="48"/>
      <c r="AL696" s="48"/>
    </row>
    <row r="697" spans="1:38" x14ac:dyDescent="0.2">
      <c r="A697" s="126">
        <f>A693*5</f>
        <v>400</v>
      </c>
      <c r="B697" s="121">
        <f>_xlfn.IFS($I$85="x","PAINISSA",
I697="x",SUM($C$3,$I$3)+IF(H697="x",1)+$I$16-$B$10+$M$94+IF($C$77="x",2)-IF($C$78="x",4)-IF($I$78="x",1)-IF($I$77="x",2)-IF($I$90="x",2)+IF($I$83="x",2)-IF($C$76="x",4)-$C$112+IF(H693="x",1)+I693+$M$77+IF(H695="x",1)+IF(J695="x",1)+IF($M$76="x",2)+J693+IF($M$85="x",1)+IF($M$113="x",1)+IF($M$120="x",2)+IF($M$119="x",2)+IF($M$105="x",1)+IF($M$110="x",1)+IF($M$111="x",2)+IF($M$112="x",4)+IF($M$108="x",1)-IF($M$109="x",1)-IF($M$99="x",1)+IF($M$90="x",1)-2-8,
J697="x",SUM($C$3,$I$3)+IF(H697="x",1)+$I$16-$B$10+$M$94+IF($C$77="x",2)-IF($C$78="x",4)-IF($I$78="x",1)-IF($I$77="x",2)-IF($I$90="x",2)+IF($I$83="x",2)-IF($C$76="x",4)-$C$112+IF(H693="x",1)+I693+$M$77+IF(H695="x",1)+IF(J695="x",1)+IF($M$76="x",2)+J693+IF($M$85="x",1)+IF($M$113="x",1)+IF($M$120="x",2)+IF($M$119="x",2)+IF($M$105="x",1)+IF($M$110="x",1)+IF($M$111="x",2)+IF($M$112="x",4)+IF($M$108="x",1)-IF($M$109="x",1)-IF($M$99="x",1)+IF($M$90="x",1)-IF($C$97="x",4,8)-8
&amp;"/"&amp;SUM($C$3,$I$3)+IF(H697="x",1)+$I$16-$B$10+$M$94+IF($C$77="x",2)-IF($C$78="x",4)-IF($I$78="x",1)-IF($I$77="x",2)-IF($I$90="x",2)+IF($I$83="x",2)-IF($C$76="x",4)-$C$112+IF(H693="x",1)+I693+$M$77+IF(H695="x",1)+IF(J695="x",1)+IF($M$76="x",2)+J693+IF($M$85="x",1)+IF($M$113="x",1)+IF($M$120="x",2)+IF($M$119="x",2)+IF($M$105="x",1)+IF($M$110="x",1)+IF($M$111="x",2)+IF($M$112="x",4)+IF($M$108="x",1)-IF($M$109="x",1)-IF($M$99="x",1)+IF($M$90="x",1)-IF($C$97="x",4,10)-8,
$I$3&lt;6,SUM($C$3,$I$3)+IF(H697="x",1)-8+$I$16-$B$10+$M$94+IF($C$77="x",2)-IF($C$78="x",4)-IF($I$78="x",1)-IF($I$77="x",2)-IF($I$90="x",2)+IF($I$83="x",2)-IF($C$76="x",4)-$C$112+IF(H693="x",1)+I693+$M$77+IF(H695="x",1)+IF(J695="x",1)+IF($M$76="x",2)+J693+IF($M$85="x",1)+IF($M$113="x",1)+IF($M$120="x",2)+IF($M$119="x",2)+IF($M$105="x",1)+IF($M$110="x",1)+IF($M$111="x",2)+IF($M$112="x",4)+IF($M$108="x",1)-IF($M$109="x",1)-IF($M$99="x",1)+IF($M$90="x",1),
$I$3&lt;11,SUM($C$3,$I$3)+IF(H697="x",1)-8+$I$16-$B$10+$M$94+IF($C$77="x",2)-IF($C$78="x",4)-IF($I$78="x",1)-IF($I$77="x",2)-IF($I$90="x",2)+IF($I$83="x",2)-IF($C$76="x",4)-$C$112+IF(H693="x",1)+I693+$M$77+IF(H695="x",1)+IF(J695="x",1)+IF($M$76="x",2)+J693+IF($M$85="x",1)+IF($M$113="x",1)+IF($M$120="x",2)+IF($M$119="x",2)+IF($M$105="x",1)+IF($M$110="x",1)+IF($M$111="x",2)+IF($M$112="x",4)+IF($M$108="x",1)-IF($M$109="x",1)-IF($M$99="x",1)+IF($M$90="x",1)
&amp;"/"&amp;SUM($C$3,$I$3)+IF(H697="x",1)-8+$I$16-$B$10+$M$94+IF($C$77="x",2)-IF($C$78="x",4)-IF($I$78="x",1)-IF($I$77="x",2)-IF($I$90="x",2)+IF($I$83="x",2)-IF($C$76="x",4)-$C$112+IF(H693="x",1)+I693+$M$77+IF(H695="x",1)+IF(J695="x",1)+IF($M$76="x",2)+J693+IF($M$85="x",1)+IF($M$113="x",1)+IF($M$120="x",2)+IF($M$119="x",2)+IF($M$105="x",1)+IF($M$110="x",1)+IF($M$111="x",2)+IF($M$112="x",4)+IF($M$108="x",1)-IF($M$109="x",1)-IF($M$99="x",1)+IF($M$90="x",1)-5,
$I$3&lt;16,SUM($C$3,$I$3)+IF(H697="x",1)-8+$I$16-$B$10+$M$94+IF($C$77="x",2)-IF($C$78="x",4)-IF($I$78="x",1)-IF($I$77="x",2)-IF($I$90="x",2)+IF($I$83="x",2)-IF($C$76="x",4)-$C$112+IF(H693="x",1)+I693+$M$77+IF(H695="x",1)+IF(J695="x",1)+IF($M$76="x",2)+J693+IF($M$85="x",1)+IF($M$113="x",1)+IF($M$120="x",2)+IF($M$119="x",2)+IF($M$105="x",1)+IF($M$110="x",1)+IF($M$111="x",2)+IF($M$112="x",4)+IF($M$108="x",1)-IF($M$109="x",1)-IF($M$99="x",1)+IF($M$90="x",1)
&amp;"/"&amp;SUM($C$3,$I$3)+IF(H697="x",1)-8+$I$16-$B$10+$M$94+IF($C$77="x",2)-IF($C$78="x",4)-IF($I$78="x",1)-IF($I$77="x",2)-IF($I$90="x",2)+IF($I$83="x",2)-IF($C$76="x",4)-$C$112+IF(H693="x",1)+I693+$M$77+IF(H695="x",1)+IF(J695="x",1)+IF($M$76="x",2)+J693+IF($M$85="x",1)+IF($M$113="x",1)+IF($M$120="x",2)+IF($M$119="x",2)+IF($M$105="x",1)+IF($M$110="x",1)+IF($M$111="x",2)+IF($M$112="x",4)+IF($M$108="x",1)-IF($M$109="x",1)-IF($M$99="x",1)+IF($M$90="x",1)-5
&amp;"/"&amp;SUM($C$3,$I$3)+IF(H697="x",1)-8+$I$16-$B$10+$M$94+IF($C$77="x",2)-IF($C$78="x",4)-IF($I$78="x",1)-IF($I$77="x",2)-IF($I$90="x",2)+IF($I$83="x",2)-IF($C$76="x",4)-$C$112+IF(H693="x",1)+I693+$M$77+IF(H695="x",1)+IF(J695="x",1)+IF($M$76="x",2)+J693+IF($M$85="x",1)+IF($M$113="x",1)+IF($M$120="x",2)+IF($M$119="x",2)+IF($M$105="x",1)+IF($M$110="x",1)+IF($M$111="x",2)+IF($M$112="x",4)+IF($M$108="x",1)-IF($M$109="x",1)-IF($M$99="x",1)+IF($M$90="x",1)-10,
$I$3&gt;=16,SUM($C$3,$I$3)+IF(H697="x",1)-8+$I$16-$B$10+$M$94+IF($C$77="x",2)-IF($C$78="x",4)-IF($I$78="x",1)-IF($I$77="x",2)-IF($I$90="x",2)+IF($I$83="x",2)-IF($C$76="x",4)-$C$112+IF(H693="x",1)+I693+$M$77+IF(H695="x",1)+IF(J695="x",1)+IF($M$76="x",2)+J693+IF($M$85="x",1)+IF($M$113="x",1)+IF($M$120="x",2)+IF($M$119="x",2)+IF($M$105="x",1)+IF($M$110="x",1)+IF($M$111="x",2)+IF($M$112="x",4)+IF($M$108="x",1)-IF($M$109="x",1)-IF($M$99="x",1)+IF($M$90="x",1)
&amp;"/"&amp;SUM($C$3,$I$3)+IF(H697="x",1)-8+$I$16-$B$10+$M$94+IF($C$77="x",2)-IF($C$78="x",4)-IF($I$78="x",1)-IF($I$77="x",2)-IF($I$90="x",2)+IF($I$83="x",2)-IF($C$76="x",4)-$C$112+IF(H693="x",1)+I693+$M$77+IF(H695="x",1)+IF(J695="x",1)+IF($M$76="x",2)+J693+IF($M$85="x",1)+IF($M$113="x",1)+IF($M$120="x",2)+IF($M$119="x",2)+IF($M$105="x",1)+IF($M$110="x",1)+IF($M$111="x",2)+IF($M$112="x",4)+IF($M$108="x",1)-IF($M$109="x",1)-IF($M$99="x",1)+IF($M$90="x",1)-5
&amp;"/"&amp;SUM($C$3,$I$3)+IF(H697="x",1)-8+$I$16-$B$10+$M$94+IF($C$77="x",2)-IF($C$78="x",4)-IF($I$78="x",1)-IF($I$77="x",2)-IF($I$90="x",2)+IF($I$83="x",2)-IF($C$76="x",4)-$C$112+IF(H693="x",1)+I693+$M$77+IF(H695="x",1)+IF(J695="x",1)+IF($M$76="x",2)+J693+IF($M$85="x",1)+IF($M$113="x",1)+IF($M$120="x",2)+IF($M$119="x",2)+IF($M$105="x",1)+IF($M$110="x",1)+IF($M$111="x",2)+IF($M$112="x",4)+IF($M$108="x",1)-IF($M$109="x",1)-IF($M$99="x",1)+IF($M$90="x",1)-10
&amp;"/"&amp;SUM($C$3,$I$3)+IF(H697="x",1)-8+$I$16-$B$10+$M$94+IF($C$77="x",2)-IF($C$78="x",4)-IF($I$78="x",1)-IF($I$77="x",2)-IF($I$90="x",2)+IF($I$83="x",2)-IF($C$76="x",4)-$C$112+IF(H693="x",1)+I693+$M$77+IF(H695="x",1)+IF(J695="x",1)+IF($M$76="x",2)+J693+IF($M$85="x",1)+IF($M$113="x",1)+IF($M$120="x",2)+IF($M$119="x",2)+IF($M$105="x",1)+IF($M$110="x",1)+IF($M$111="x",2)+IF($M$112="x",4)+IF($M$108="x",1)-IF($M$109="x",1)-IF($M$99="x",1)+IF($M$90="x",1)-15)</f>
        <v>-8</v>
      </c>
      <c r="C697" s="82"/>
      <c r="D697" s="121"/>
      <c r="E697" s="82"/>
      <c r="F697" s="82"/>
      <c r="G697" s="82"/>
      <c r="H697" s="28"/>
      <c r="I697" s="28"/>
      <c r="J697" s="28"/>
      <c r="K697" s="25"/>
      <c r="AB697" s="59"/>
      <c r="AC697" s="51"/>
      <c r="AD697" s="49"/>
      <c r="AE697" s="51"/>
      <c r="AF697" s="49"/>
      <c r="AG697" s="49"/>
      <c r="AH697" s="49"/>
      <c r="AI697" s="40"/>
      <c r="AJ697" s="40"/>
      <c r="AK697" s="40"/>
      <c r="AL697" s="40"/>
    </row>
    <row r="698" spans="1:38" x14ac:dyDescent="0.2">
      <c r="A698" s="127">
        <f>A693*6</f>
        <v>480</v>
      </c>
      <c r="B698" s="123">
        <f>_xlfn.IFS($I$85="x","PAINISSA",
I697="x",SUM($C$3,$I$3)+IF(H697="x",1)+$I$16-$B$10+$M$94+IF($C$77="x",2)-IF($C$78="x",4)-IF($I$78="x",1)-IF($I$77="x",2)-IF($I$90="x",2)+IF($I$83="x",2)-IF($C$76="x",4)-$C$112+IF(H693="x",1)+I693+$M$77+IF(H695="x",1)+IF(J695="x",1)+IF($M$76="x",2)+J693+IF($M$85="x",1)+IF($M$113="x",1)+IF($M$120="x",2)+IF($M$119="x",2)+IF($M$105="x",1)+IF($M$110="x",1)+IF($M$111="x",2)+IF($M$112="x",4)+IF($M$108="x",1)-IF($M$109="x",1)-IF($M$99="x",1)+IF($M$90="x",1)-2-10,
J697="x",SUM($C$3,$I$3)+IF(H697="x",1)+$I$16-$B$10+$M$94+IF($C$77="x",2)-IF($C$78="x",4)-IF($I$78="x",1)-IF($I$77="x",2)-IF($I$90="x",2)+IF($I$83="x",2)-IF($C$76="x",4)-$C$112+IF(H693="x",1)+I693+$M$77+IF(H695="x",1)+IF(J695="x",1)+IF($M$76="x",2)+J693+IF($M$85="x",1)+IF($M$113="x",1)+IF($M$120="x",2)+IF($M$119="x",2)+IF($M$105="x",1)+IF($M$110="x",1)+IF($M$111="x",2)+IF($M$112="x",4)+IF($M$108="x",1)-IF($M$109="x",1)-IF($M$99="x",1)+IF($M$90="x",1)-IF($C$97="x",4,8)-10
&amp;"/"&amp;SUM($C$3,$I$3)+IF(H697="x",1)+$I$16-$B$10+$M$94+IF($C$77="x",2)-IF($C$78="x",4)-IF($I$78="x",1)-IF($I$77="x",2)-IF($I$90="x",2)+IF($I$83="x",2)-IF($C$76="x",4)-$C$112+IF(H693="x",1)+I693+$M$77+IF(H695="x",1)+IF(J695="x",1)+IF($M$76="x",2)+J693+IF($M$85="x",1)+IF($M$113="x",1)+IF($M$120="x",2)+IF($M$119="x",2)+IF($M$105="x",1)+IF($M$110="x",1)+IF($M$111="x",2)+IF($M$112="x",4)+IF($M$108="x",1)-IF($M$109="x",1)-IF($M$99="x",1)+IF($M$90="x",1)-IF($C$97="x",4,10)-10,
$I$3&lt;6,SUM($C$3,$I$3)+IF(H697="x",1)-10+$I$16-$B$10+$M$94+IF($C$77="x",2)-IF($C$78="x",4)-IF($I$78="x",1)-IF($I$77="x",2)-IF($I$90="x",2)+IF($I$83="x",2)-IF($C$76="x",4)-$C$112+IF(H693="x",1)+I693+$M$77+IF(H695="x",1)+IF(J695="x",1)+IF($M$76="x",2)+J693+IF($M$85="x",1)+IF($M$113="x",1)+IF($M$120="x",2)+IF($M$119="x",2)+IF($M$105="x",1)+IF($M$110="x",1)+IF($M$111="x",2)+IF($M$112="x",4)+IF($M$108="x",1)-IF($M$109="x",1)-IF($M$99="x",1)+IF($M$90="x",1),
$I$3&lt;11,SUM($C$3,$I$3)+IF(H697="x",1)-10+$I$16-$B$10+$M$94+IF($C$77="x",2)-IF($C$78="x",4)-IF($I$78="x",1)-IF($I$77="x",2)-IF($I$90="x",2)+IF($I$83="x",2)-IF($C$76="x",4)-$C$112+IF(H693="x",1)+I693+$M$77+IF(H695="x",1)+IF(J695="x",1)+IF($M$76="x",2)+J693+IF($M$85="x",1)+IF($M$113="x",1)+IF($M$120="x",2)+IF($M$119="x",2)+IF($M$105="x",1)+IF($M$110="x",1)+IF($M$111="x",2)+IF($M$112="x",4)+IF($M$108="x",1)-IF($M$109="x",1)-IF($M$99="x",1)+IF($M$90="x",1)
&amp;"/"&amp;SUM($C$3,$I$3)+IF(H697="x",1)-10+$I$16-$B$10+$M$94+IF($C$77="x",2)-IF($C$78="x",4)-IF($I$78="x",1)-IF($I$77="x",2)-IF($I$90="x",2)+IF($I$83="x",2)-IF($C$76="x",4)-$C$112+IF(H693="x",1)+I693+$M$77+IF(H695="x",1)+IF(J695="x",1)+IF($M$76="x",2)+J693+IF($M$85="x",1)+IF($M$113="x",1)+IF($M$120="x",2)+IF($M$119="x",2)+IF($M$105="x",1)+IF($M$110="x",1)+IF($M$111="x",2)+IF($M$112="x",4)+IF($M$108="x",1)-IF($M$109="x",1)-IF($M$99="x",1)+IF($M$90="x",1)-5,
$I$3&lt;16,SUM($C$3,$I$3)+IF(H697="x",1)-10+$I$16-$B$10+$M$94+IF($C$77="x",2)-IF($C$78="x",4)-IF($I$78="x",1)-IF($I$77="x",2)-IF($I$90="x",2)+IF($I$83="x",2)-IF($C$76="x",4)-$C$112+IF(H693="x",1)+I693+$M$77+IF(H695="x",1)+IF(J695="x",1)+IF($M$76="x",2)+J693+IF($M$85="x",1)+IF($M$113="x",1)+IF($M$120="x",2)+IF($M$119="x",2)+IF($M$105="x",1)+IF($M$110="x",1)+IF($M$111="x",2)+IF($M$112="x",4)+IF($M$108="x",1)-IF($M$109="x",1)-IF($M$99="x",1)+IF($M$90="x",1)
&amp;"/"&amp;SUM($C$3,$I$3)+IF(H697="x",1)-10+$I$16-$B$10+$M$94+IF($C$77="x",2)-IF($C$78="x",4)-IF($I$78="x",1)-IF($I$77="x",2)-IF($I$90="x",2)+IF($I$83="x",2)-IF($C$76="x",4)-$C$112+IF(H693="x",1)+I693+$M$77+IF(H695="x",1)+IF(J695="x",1)+IF($M$76="x",2)+J693+IF($M$85="x",1)+IF($M$113="x",1)+IF($M$120="x",2)+IF($M$119="x",2)+IF($M$105="x",1)+IF($M$110="x",1)+IF($M$111="x",2)+IF($M$112="x",4)+IF($M$108="x",1)-IF($M$109="x",1)-IF($M$99="x",1)+IF($M$90="x",1)-5
&amp;"/"&amp;SUM($C$3,$I$3)+IF(H697="x",1)-10+$I$16-$B$10+$M$94+IF($C$77="x",2)-IF($C$78="x",4)-IF($I$78="x",1)-IF($I$77="x",2)-IF($I$90="x",2)+IF($I$83="x",2)-IF($C$76="x",4)-$C$112+IF(H693="x",1)+I693+$M$77+IF(H695="x",1)+IF(J695="x",1)+IF($M$76="x",2)+J693+IF($M$85="x",1)+IF($M$113="x",1)+IF($M$120="x",2)+IF($M$119="x",2)+IF($M$105="x",1)+IF($M$110="x",1)+IF($M$111="x",2)+IF($M$112="x",4)+IF($M$108="x",1)-IF($M$109="x",1)-IF($M$99="x",1)+IF($M$90="x",1)-10,
$I$3&gt;=16,SUM($C$3,$I$3)+IF(H697="x",1)-10+$I$16-$B$10+$M$94+IF($C$77="x",2)-IF($C$78="x",4)-IF($I$78="x",1)-IF($I$77="x",2)-IF($I$90="x",2)+IF($I$83="x",2)-IF($C$76="x",4)-$C$112+IF(H693="x",1)+I693+$M$77+IF(H695="x",1)+IF(J695="x",1)+IF($M$76="x",2)+J693+IF($M$85="x",1)+IF($M$113="x",1)+IF($M$120="x",2)+IF($M$119="x",2)+IF($M$105="x",1)+IF($M$110="x",1)+IF($M$111="x",2)+IF($M$112="x",4)+IF($M$108="x",1)-IF($M$109="x",1)-IF($M$99="x",1)+IF($M$90="x",1)
&amp;"/"&amp;SUM($C$3,$I$3)+IF(H697="x",1)-10+$I$16-$B$10+$M$94+IF($C$77="x",2)-IF($C$78="x",4)-IF($I$78="x",1)-IF($I$77="x",2)-IF($I$90="x",2)+IF($I$83="x",2)-IF($C$76="x",4)-$C$112+IF(H693="x",1)+I693+$M$77+IF(H695="x",1)+IF(J695="x",1)+IF($M$76="x",2)+J693+IF($M$85="x",1)+IF($M$113="x",1)+IF($M$120="x",2)+IF($M$119="x",2)+IF($M$105="x",1)+IF($M$110="x",1)+IF($M$111="x",2)+IF($M$112="x",4)+IF($M$108="x",1)-IF($M$109="x",1)-IF($M$99="x",1)+IF($M$90="x",1)-5
&amp;"/"&amp;SUM($C$3,$I$3)+IF(H697="x",1)-10+$I$16-$B$10+$M$94+IF($C$77="x",2)-IF($C$78="x",4)-IF($I$78="x",1)-IF($I$77="x",2)-IF($I$90="x",2)+IF($I$83="x",2)-IF($C$76="x",4)-$C$112+IF(H693="x",1)+I693+$M$77+IF(H695="x",1)+IF(J695="x",1)+IF($M$76="x",2)+J693+IF($M$85="x",1)+IF($M$113="x",1)+IF($M$120="x",2)+IF($M$119="x",2)+IF($M$105="x",1)+IF($M$110="x",1)+IF($M$111="x",2)+IF($M$112="x",4)+IF($M$108="x",1)-IF($M$109="x",1)-IF($M$99="x",1)+IF($M$90="x",1)-10
&amp;"/"&amp;SUM($C$3,$I$3)+IF(H697="x",1)-10+$I$16-$B$10+$M$94+IF($C$77="x",2)-IF($C$78="x",4)-IF($I$78="x",1)-IF($I$77="x",2)-IF($I$90="x",2)+IF($I$83="x",2)-IF($C$76="x",4)-$C$112+IF(H693="x",1)+I693+$M$77+IF(H695="x",1)+IF(J695="x",1)+IF($M$76="x",2)+J693+IF($M$85="x",1)+IF($M$113="x",1)+IF($M$120="x",2)+IF($M$119="x",2)+IF($M$105="x",1)+IF($M$110="x",1)+IF($M$111="x",2)+IF($M$112="x",4)+IF($M$108="x",1)-IF($M$109="x",1)-IF($M$99="x",1)+IF($M$90="x",1)-15)</f>
        <v>-10</v>
      </c>
      <c r="C698" s="82"/>
      <c r="D698" s="121"/>
      <c r="E698" s="82"/>
      <c r="F698" s="82"/>
      <c r="G698" s="82"/>
      <c r="H698" s="82"/>
      <c r="I698" s="25"/>
      <c r="J698" s="64"/>
      <c r="K698" s="64"/>
      <c r="AB698" s="62"/>
      <c r="AC698" s="53"/>
      <c r="AD698" s="49"/>
      <c r="AE698" s="51"/>
      <c r="AF698" s="49"/>
      <c r="AG698" s="49"/>
      <c r="AH698" s="49"/>
      <c r="AI698" s="48"/>
      <c r="AJ698" s="48"/>
    </row>
    <row r="699" spans="1:38" x14ac:dyDescent="0.2">
      <c r="A699" s="126">
        <f>A693*7</f>
        <v>560</v>
      </c>
      <c r="B699" s="121">
        <f>_xlfn.IFS($I$85="x","PAINISSA",
I697="x",SUM($C$3,$I$3)+IF(H697="x",1)+$I$16-$B$10+$M$94+IF($C$77="x",2)-IF($C$78="x",4)-IF($I$78="x",1)-IF($I$77="x",2)-IF($I$90="x",2)+IF($I$83="x",2)-IF($C$76="x",4)-$C$112+IF(H693="x",1)+I693+$M$77+IF(H695="x",1)+IF(J695="x",1)+IF($M$76="x",2)+J693+IF($M$85="x",1)+IF($M$113="x",1)+IF($M$120="x",2)+IF($M$119="x",2)+IF($M$105="x",1)+IF($M$110="x",1)+IF($M$111="x",2)+IF($M$112="x",4)+IF($M$108="x",1)-IF($M$109="x",1)-IF($M$99="x",1)+IF($M$90="x",1)-2-12,
J697="x",SUM($C$3,$I$3)+IF(H697="x",1)+$I$16-$B$10+$M$94+IF($C$77="x",2)-IF($C$78="x",4)-IF($I$78="x",1)-IF($I$77="x",2)-IF($I$90="x",2)+IF($I$83="x",2)-IF($C$76="x",4)-$C$112+IF(H693="x",1)+I693+$M$77+IF(H695="x",1)+IF(J695="x",1)+IF($M$76="x",2)+J693+IF($M$85="x",1)+IF($M$113="x",1)+IF($M$120="x",2)+IF($M$119="x",2)+IF($M$105="x",1)+IF($M$110="x",1)+IF($M$111="x",2)+IF($M$112="x",4)+IF($M$108="x",1)-IF($M$109="x",1)-IF($M$99="x",1)+IF($M$90="x",1)-IF($C$97="x",4,8)-12
&amp;"/"&amp;SUM($C$3,$I$3)+IF(H697="x",1)+$I$16-$B$10+$M$94+IF($C$77="x",2)-IF($C$78="x",4)-IF($I$78="x",1)-IF($I$77="x",2)-IF($I$90="x",2)+IF($I$83="x",2)-IF($C$76="x",4)-$C$112+IF(H693="x",1)+I693+$M$77+IF(H695="x",1)+IF(J695="x",1)+IF($M$76="x",2)+J693+IF($M$85="x",1)+IF($M$113="x",1)+IF($M$120="x",2)+IF($M$119="x",2)+IF($M$105="x",1)+IF($M$110="x",1)+IF($M$111="x",2)+IF($M$112="x",4)+IF($M$108="x",1)-IF($M$109="x",1)-IF($M$99="x",1)+IF($M$90="x",1)-IF($C$97="x",4,10)-12,
$I$3&lt;6,SUM($C$3,$I$3)+IF(H697="x",1)-12+$I$16-$B$10+$M$94+IF($C$77="x",2)-IF($C$78="x",4)-IF($I$78="x",1)-IF($I$77="x",2)-IF($I$90="x",2)+IF($I$83="x",2)-IF($C$76="x",4)-$C$112+IF(H693="x",1)+I693+$M$77+IF(H695="x",1)+IF(J695="x",1)+IF($M$76="x",2)+J693+IF($M$85="x",1)+IF($M$113="x",1)+IF($M$120="x",2)+IF($M$119="x",2)+IF($M$105="x",1)+IF($M$110="x",1)+IF($M$111="x",2)+IF($M$112="x",4)+IF($M$108="x",1)-IF($M$109="x",1)-IF($M$99="x",1)+IF($M$90="x",1),
$I$3&lt;11,SUM($C$3,$I$3)+IF(H697="x",1)-12+$I$16-$B$10+$M$94+IF($C$77="x",2)-IF($C$78="x",4)-IF($I$78="x",1)-IF($I$77="x",2)-IF($I$90="x",2)+IF($I$83="x",2)-IF($C$76="x",4)-$C$112+IF(H693="x",1)+I693+$M$77+IF(H695="x",1)+IF(J695="x",1)+IF($M$76="x",2)+J693+IF($M$85="x",1)+IF($M$113="x",1)+IF($M$120="x",2)+IF($M$119="x",2)+IF($M$105="x",1)+IF($M$110="x",1)+IF($M$111="x",2)+IF($M$112="x",4)+IF($M$108="x",1)-IF($M$109="x",1)-IF($M$99="x",1)+IF($M$90="x",1)
&amp;"/"&amp;SUM($C$3,$I$3)+IF(H697="x",1)-12+$I$16-$B$10+$M$94+IF($C$77="x",2)-IF($C$78="x",4)-IF($I$78="x",1)-IF($I$77="x",2)-IF($I$90="x",2)+IF($I$83="x",2)-IF($C$76="x",4)-$C$112+IF(H693="x",1)+I693+$M$77+IF(H695="x",1)+IF(J695="x",1)+IF($M$76="x",2)+J693+IF($M$85="x",1)+IF($M$113="x",1)+IF($M$120="x",2)+IF($M$119="x",2)+IF($M$105="x",1)+IF($M$110="x",1)+IF($M$111="x",2)+IF($M$112="x",4)+IF($M$108="x",1)-IF($M$109="x",1)-IF($M$99="x",1)+IF($M$90="x",1)-5,
$I$3&lt;16,SUM($C$3,$I$3)+IF(H697="x",1)-12+$I$16-$B$10+$M$94+IF($C$77="x",2)-IF($C$78="x",4)-IF($I$78="x",1)-IF($I$77="x",2)-IF($I$90="x",2)+IF($I$83="x",2)-IF($C$76="x",4)-$C$112+IF(H693="x",1)+I693+$M$77+IF(H695="x",1)+IF(J695="x",1)+IF($M$76="x",2)+J693+IF($M$85="x",1)+IF($M$113="x",1)+IF($M$120="x",2)+IF($M$119="x",2)+IF($M$105="x",1)+IF($M$110="x",1)+IF($M$111="x",2)+IF($M$112="x",4)+IF($M$108="x",1)-IF($M$109="x",1)-IF($M$99="x",1)+IF($M$90="x",1)
&amp;"/"&amp;SUM($C$3,$I$3)+IF(H697="x",1)-12+$I$16-$B$10+$M$94+IF($C$77="x",2)-IF($C$78="x",4)-IF($I$78="x",1)-IF($I$77="x",2)-IF($I$90="x",2)+IF($I$83="x",2)-IF($C$76="x",4)-$C$112+IF(H693="x",1)+I693+$M$77+IF(H695="x",1)+IF(J695="x",1)+IF($M$76="x",2)+J693+IF($M$85="x",1)+IF($M$113="x",1)+IF($M$120="x",2)+IF($M$119="x",2)+IF($M$105="x",1)+IF($M$110="x",1)+IF($M$111="x",2)+IF($M$112="x",4)+IF($M$108="x",1)-IF($M$109="x",1)-IF($M$99="x",1)+IF($M$90="x",1)-5
&amp;"/"&amp;SUM($C$3,$I$3)+IF(H697="x",1)-12+$I$16-$B$10+$M$94+IF($C$77="x",2)-IF($C$78="x",4)-IF($I$78="x",1)-IF($I$77="x",2)-IF($I$90="x",2)+IF($I$83="x",2)-IF($C$76="x",4)-$C$112+IF(H693="x",1)+I693+$M$77+IF(H695="x",1)+IF(J695="x",1)+IF($M$76="x",2)+J693+IF($M$85="x",1)+IF($M$113="x",1)+IF($M$120="x",2)+IF($M$119="x",2)+IF($M$105="x",1)+IF($M$110="x",1)+IF($M$111="x",2)+IF($M$112="x",4)+IF($M$108="x",1)-IF($M$109="x",1)-IF($M$99="x",1)+IF($M$90="x",1)-10,
$I$3&gt;=16,SUM($C$3,$I$3)+IF(H697="x",1)-12+$I$16-$B$10+$M$94+IF($C$77="x",2)-IF($C$78="x",4)-IF($I$78="x",1)-IF($I$77="x",2)-IF($I$90="x",2)+IF($I$83="x",2)-IF($C$76="x",4)-$C$112+IF(H693="x",1)+I693+$M$77+IF(H695="x",1)+IF(J695="x",1)+IF($M$76="x",2)+J693+IF($M$85="x",1)+IF($M$113="x",1)+IF($M$120="x",2)+IF($M$119="x",2)+IF($M$105="x",1)+IF($M$110="x",1)+IF($M$111="x",2)+IF($M$112="x",4)+IF($M$108="x",1)-IF($M$109="x",1)-IF($M$99="x",1)+IF($M$90="x",1)
&amp;"/"&amp;SUM($C$3,$I$3)+IF(H697="x",1)-12+$I$16-$B$10+$M$94+IF($C$77="x",2)-IF($C$78="x",4)-IF($I$78="x",1)-IF($I$77="x",2)-IF($I$90="x",2)+IF($I$83="x",2)-IF($C$76="x",4)-$C$112+IF(H693="x",1)+I693+$M$77+IF(H695="x",1)+IF(J695="x",1)+IF($M$76="x",2)+J693+IF($M$85="x",1)+IF($M$113="x",1)+IF($M$120="x",2)+IF($M$119="x",2)+IF($M$105="x",1)+IF($M$110="x",1)+IF($M$111="x",2)+IF($M$112="x",4)+IF($M$108="x",1)-IF($M$109="x",1)-IF($M$99="x",1)+IF($M$90="x",1)-5
&amp;"/"&amp;SUM($C$3,$I$3)+IF(H697="x",1)-12+$I$16-$B$10+$M$94+IF($C$77="x",2)-IF($C$78="x",4)-IF($I$78="x",1)-IF($I$77="x",2)-IF($I$90="x",2)+IF($I$83="x",2)-IF($C$76="x",4)-$C$112+IF(H693="x",1)+I693+$M$77+IF(H695="x",1)+IF(J695="x",1)+IF($M$76="x",2)+J693+IF($M$85="x",1)+IF($M$113="x",1)+IF($M$120="x",2)+IF($M$119="x",2)+IF($M$105="x",1)+IF($M$110="x",1)+IF($M$111="x",2)+IF($M$112="x",4)+IF($M$108="x",1)-IF($M$109="x",1)-IF($M$99="x",1)+IF($M$90="x",1)-10
&amp;"/"&amp;SUM($C$3,$I$3)+IF(H697="x",1)-12+$I$16-$B$10+$M$94+IF($C$77="x",2)-IF($C$78="x",4)-IF($I$78="x",1)-IF($I$77="x",2)-IF($I$90="x",2)+IF($I$83="x",2)-IF($C$76="x",4)-$C$112+IF(H693="x",1)+I693+$M$77+IF(H695="x",1)+IF(J695="x",1)+IF($M$76="x",2)+J693+IF($M$85="x",1)+IF($M$113="x",1)+IF($M$120="x",2)+IF($M$119="x",2)+IF($M$105="x",1)+IF($M$110="x",1)+IF($M$111="x",2)+IF($M$112="x",4)+IF($M$108="x",1)-IF($M$109="x",1)-IF($M$99="x",1)+IF($M$90="x",1)-15)</f>
        <v>-12</v>
      </c>
      <c r="C699" s="82"/>
      <c r="D699" s="121"/>
      <c r="E699" s="82"/>
      <c r="F699" s="82"/>
      <c r="G699" s="82"/>
      <c r="H699" s="82"/>
      <c r="J699" s="64"/>
      <c r="K699" s="64"/>
      <c r="AB699" s="59"/>
      <c r="AC699" s="51"/>
      <c r="AD699" s="49"/>
      <c r="AE699" s="51"/>
      <c r="AF699" s="49"/>
      <c r="AG699" s="49"/>
      <c r="AH699" s="49"/>
      <c r="AI699" s="40"/>
      <c r="AJ699" s="40"/>
      <c r="AL699" s="50"/>
    </row>
    <row r="700" spans="1:38" x14ac:dyDescent="0.2">
      <c r="A700" s="127">
        <f>A693*8</f>
        <v>640</v>
      </c>
      <c r="B700" s="123">
        <f>_xlfn.IFS($I$85="x","PAINISSA",
I697="x",SUM($C$3,$I$3)+IF(H697="x",1)+$I$16-$B$10+$M$94+IF($C$77="x",2)-IF($C$78="x",4)-IF($I$78="x",1)-IF($I$77="x",2)-IF($I$90="x",2)+IF($I$83="x",2)-IF($C$76="x",4)-$C$112+IF(H693="x",1)+I693+$M$77+IF(H695="x",1)+IF(J695="x",1)+IF($M$76="x",2)+J693+IF($M$85="x",1)+IF($M$113="x",1)+IF($M$120="x",2)+IF($M$119="x",2)+IF($M$105="x",1)+IF($M$110="x",1)+IF($M$111="x",2)+IF($M$112="x",4)+IF($M$108="x",1)-IF($M$109="x",1)-IF($M$99="x",1)+IF($M$90="x",1)-2-14,
J697="x",SUM($C$3,$I$3)+IF(H697="x",1)+$I$16-$B$10+$M$94+IF($C$77="x",2)-IF($C$78="x",4)-IF($I$78="x",1)-IF($I$77="x",2)-IF($I$90="x",2)+IF($I$83="x",2)-IF($C$76="x",4)-$C$112+IF(H693="x",1)+I693+$M$77+IF(H695="x",1)+IF(J695="x",1)+IF($M$76="x",2)+J693+IF($M$85="x",1)+IF($M$113="x",1)+IF($M$120="x",2)+IF($M$119="x",2)+IF($M$105="x",1)+IF($M$110="x",1)+IF($M$111="x",2)+IF($M$112="x",4)+IF($M$108="x",1)-IF($M$109="x",1)-IF($M$99="x",1)+IF($M$90="x",1)-IF($C$97="x",4,8)-14
&amp;"/"&amp;SUM($C$3,$I$3)+IF(H697="x",1)+$I$16-$B$10+$M$94+IF($C$77="x",2)-IF($C$78="x",4)-IF($I$78="x",1)-IF($I$77="x",2)-IF($I$90="x",2)+IF($I$83="x",2)-IF($C$76="x",4)-$C$112+IF(H693="x",1)+I693+$M$77+IF(H695="x",1)+IF(J695="x",1)+IF($M$76="x",2)+J693+IF($M$85="x",1)+IF($M$113="x",1)+IF($M$120="x",2)+IF($M$119="x",2)+IF($M$105="x",1)+IF($M$110="x",1)+IF($M$111="x",2)+IF($M$112="x",4)+IF($M$108="x",1)-IF($M$109="x",1)-IF($M$99="x",1)+IF($M$90="x",1)-IF($C$97="x",4,10)-14,
$I$3&lt;6,SUM($C$3,$I$3)+IF(H697="x",1)-14+$I$16-$B$10+$M$94+IF($C$77="x",2)-IF($C$78="x",4)-IF($I$78="x",1)-IF($I$77="x",2)-IF($I$90="x",2)+IF($I$83="x",2)-IF($C$76="x",4)-$C$112+IF(H693="x",1)+I693+$M$77+IF(H695="x",1)+IF(J695="x",1)+IF($M$76="x",2)+J693+IF($M$85="x",1)+IF($M$113="x",1)+IF($M$120="x",2)+IF($M$119="x",2)+IF($M$105="x",1)+IF($M$110="x",1)+IF($M$111="x",2)+IF($M$112="x",4)+IF($M$108="x",1)-IF($M$109="x",1)-IF($M$99="x",1)+IF($M$90="x",1),
$I$3&lt;11,SUM($C$3,$I$3)+IF(H697="x",1)-14+$I$16-$B$10+$M$94+IF($C$77="x",2)-IF($C$78="x",4)-IF($I$78="x",1)-IF($I$77="x",2)-IF($I$90="x",2)+IF($I$83="x",2)-IF($C$76="x",4)-$C$112+IF(H693="x",1)+I693+$M$77+IF(H695="x",1)+IF(J695="x",1)+IF($M$76="x",2)+J693+IF($M$85="x",1)+IF($M$113="x",1)+IF($M$120="x",2)+IF($M$119="x",2)+IF($M$105="x",1)+IF($M$110="x",1)+IF($M$111="x",2)+IF($M$112="x",4)+IF($M$108="x",1)-IF($M$109="x",1)-IF($M$99="x",1)+IF($M$90="x",1)
&amp;"/"&amp;SUM($C$3,$I$3)+IF(H697="x",1)-14+$I$16-$B$10+$M$94+IF($C$77="x",2)-IF($C$78="x",4)-IF($I$78="x",1)-IF($I$77="x",2)-IF($I$90="x",2)+IF($I$83="x",2)-IF($C$76="x",4)-$C$112+IF(H693="x",1)+I693+$M$77+IF(H695="x",1)+IF(J695="x",1)+IF($M$76="x",2)+J693+IF($M$85="x",1)+IF($M$113="x",1)+IF($M$120="x",2)+IF($M$119="x",2)+IF($M$105="x",1)+IF($M$110="x",1)+IF($M$111="x",2)+IF($M$112="x",4)+IF($M$108="x",1)-IF($M$109="x",1)-IF($M$99="x",1)+IF($M$90="x",1)-5,
$I$3&lt;16,SUM($C$3,$I$3)+IF(H697="x",1)-14+$I$16-$B$10+$M$94+IF($C$77="x",2)-IF($C$78="x",4)-IF($I$78="x",1)-IF($I$77="x",2)-IF($I$90="x",2)+IF($I$83="x",2)-IF($C$76="x",4)-$C$112+IF(H693="x",1)+I693+$M$77+IF(H695="x",1)+IF(J695="x",1)+IF($M$76="x",2)+J693+IF($M$85="x",1)+IF($M$113="x",1)+IF($M$120="x",2)+IF($M$119="x",2)+IF($M$105="x",1)+IF($M$110="x",1)+IF($M$111="x",2)+IF($M$112="x",4)+IF($M$108="x",1)-IF($M$109="x",1)-IF($M$99="x",1)+IF($M$90="x",1)
&amp;"/"&amp;SUM($C$3,$I$3)+IF(H697="x",1)-14+$I$16-$B$10+$M$94+IF($C$77="x",2)-IF($C$78="x",4)-IF($I$78="x",1)-IF($I$77="x",2)-IF($I$90="x",2)+IF($I$83="x",2)-IF($C$76="x",4)-$C$112+IF(H693="x",1)+I693+$M$77+IF(H695="x",1)+IF(J695="x",1)+IF($M$76="x",2)+J693+IF($M$85="x",1)+IF($M$113="x",1)+IF($M$120="x",2)+IF($M$119="x",2)+IF($M$105="x",1)+IF($M$110="x",1)+IF($M$111="x",2)+IF($M$112="x",4)+IF($M$108="x",1)-IF($M$109="x",1)-IF($M$99="x",1)+IF($M$90="x",1)-5
&amp;"/"&amp;SUM($C$3,$I$3)+IF(H697="x",1)-14+$I$16-$B$10+$M$94+IF($C$77="x",2)-IF($C$78="x",4)-IF($I$78="x",1)-IF($I$77="x",2)-IF($I$90="x",2)+IF($I$83="x",2)-IF($C$76="x",4)-$C$112+IF(H693="x",1)+I693+$M$77+IF(H695="x",1)+IF(J695="x",1)+IF($M$76="x",2)+J693+IF($M$85="x",1)+IF($M$113="x",1)+IF($M$120="x",2)+IF($M$119="x",2)+IF($M$105="x",1)+IF($M$110="x",1)+IF($M$111="x",2)+IF($M$112="x",4)+IF($M$108="x",1)-IF($M$109="x",1)-IF($M$99="x",1)+IF($M$90="x",1)-10,
$I$3&gt;=16,SUM($C$3,$I$3)+IF(H697="x",1)-14+$I$16-$B$10+$M$94+IF($C$77="x",2)-IF($C$78="x",4)-IF($I$78="x",1)-IF($I$77="x",2)-IF($I$90="x",2)+IF($I$83="x",2)-IF($C$76="x",4)-$C$112+IF(H693="x",1)+I693+$M$77+IF(H695="x",1)+IF(J695="x",1)+IF($M$76="x",2)+J693+IF($M$85="x",1)+IF($M$113="x",1)+IF($M$120="x",2)+IF($M$119="x",2)+IF($M$105="x",1)+IF($M$110="x",1)+IF($M$111="x",2)+IF($M$112="x",4)+IF($M$108="x",1)-IF($M$109="x",1)-IF($M$99="x",1)+IF($M$90="x",1)
&amp;"/"&amp;SUM($C$3,$I$3)+IF(H697="x",1)-14+$I$16-$B$10+$M$94+IF($C$77="x",2)-IF($C$78="x",4)-IF($I$78="x",1)-IF($I$77="x",2)-IF($I$90="x",2)+IF($I$83="x",2)-IF($C$76="x",4)-$C$112+IF(H693="x",1)+I693+$M$77+IF(H695="x",1)+IF(J695="x",1)+IF($M$76="x",2)+J693+IF($M$85="x",1)+IF($M$113="x",1)+IF($M$120="x",2)+IF($M$119="x",2)+IF($M$105="x",1)+IF($M$110="x",1)+IF($M$111="x",2)+IF($M$112="x",4)+IF($M$108="x",1)-IF($M$109="x",1)-IF($M$99="x",1)+IF($M$90="x",1)-5
&amp;"/"&amp;SUM($C$3,$I$3)+IF(H697="x",1)-14+$I$16-$B$10+$M$94+IF($C$77="x",2)-IF($C$78="x",4)-IF($I$78="x",1)-IF($I$77="x",2)-IF($I$90="x",2)+IF($I$83="x",2)-IF($C$76="x",4)-$C$112+IF(H693="x",1)+I693+$M$77+IF(H695="x",1)+IF(J695="x",1)+IF($M$76="x",2)+J693+IF($M$85="x",1)+IF($M$113="x",1)+IF($M$120="x",2)+IF($M$119="x",2)+IF($M$105="x",1)+IF($M$110="x",1)+IF($M$111="x",2)+IF($M$112="x",4)+IF($M$108="x",1)-IF($M$109="x",1)-IF($M$99="x",1)+IF($M$90="x",1)-10
&amp;"/"&amp;SUM($C$3,$I$3)+IF(H697="x",1)-14+$I$16-$B$10+$M$94+IF($C$77="x",2)-IF($C$78="x",4)-IF($I$78="x",1)-IF($I$77="x",2)-IF($I$90="x",2)+IF($I$83="x",2)-IF($C$76="x",4)-$C$112+IF(H693="x",1)+I693+$M$77+IF(H695="x",1)+IF(J695="x",1)+IF($M$76="x",2)+J693+IF($M$85="x",1)+IF($M$113="x",1)+IF($M$120="x",2)+IF($M$119="x",2)+IF($M$105="x",1)+IF($M$110="x",1)+IF($M$111="x",2)+IF($M$112="x",4)+IF($M$108="x",1)-IF($M$109="x",1)-IF($M$99="x",1)+IF($M$90="x",1)-15)</f>
        <v>-14</v>
      </c>
      <c r="C700" s="82"/>
      <c r="D700" s="121"/>
      <c r="E700" s="82"/>
      <c r="F700" s="82"/>
      <c r="G700" s="82"/>
      <c r="H700" s="82"/>
      <c r="I700" s="82"/>
      <c r="J700" s="64"/>
      <c r="K700" s="64"/>
      <c r="AB700" s="62"/>
      <c r="AC700" s="53"/>
      <c r="AD700" s="49"/>
      <c r="AE700" s="51"/>
      <c r="AF700" s="49"/>
      <c r="AG700" s="49"/>
      <c r="AH700" s="49"/>
      <c r="AI700" s="49"/>
      <c r="AJ700" s="50"/>
      <c r="AK700" s="65"/>
      <c r="AL700" s="65"/>
    </row>
    <row r="701" spans="1:38" x14ac:dyDescent="0.2">
      <c r="A701" s="126">
        <f>A693*9</f>
        <v>720</v>
      </c>
      <c r="B701" s="121">
        <f>_xlfn.IFS($I$85="x","PAINISSA",
I697="x",SUM($C$3,$I$3)+IF(H697="x",1)+$I$16-$B$10+$M$94+IF($C$77="x",2)-IF($C$78="x",4)-IF($I$78="x",1)-IF($I$77="x",2)-IF($I$90="x",2)+IF($I$83="x",2)-IF($C$76="x",4)-$C$112+IF(H693="x",1)+I693+$M$77+IF(H695="x",1)+IF(J695="x",1)+IF($M$76="x",2)+J693+IF($M$85="x",1)+IF($M$113="x",1)+IF($M$120="x",2)+IF($M$119="x",2)+IF($M$105="x",1)+IF($M$110="x",1)+IF($M$111="x",2)+IF($M$112="x",4)+IF($M$108="x",1)-IF($M$109="x",1)-IF($M$99="x",1)+IF($M$90="x",1)-2-16,
J697="x",SUM($C$3,$I$3)+IF(H697="x",1)+$I$16-$B$10+$M$94+IF($C$77="x",2)-IF($C$78="x",4)-IF($I$78="x",1)-IF($I$77="x",2)-IF($I$90="x",2)+IF($I$83="x",2)-IF($C$76="x",4)-$C$112+IF(H693="x",1)+I693+$M$77+IF(H695="x",1)+IF(J695="x",1)+IF($M$76="x",2)+J693+IF($M$85="x",1)+IF($M$113="x",1)+IF($M$120="x",2)+IF($M$119="x",2)+IF($M$105="x",1)+IF($M$110="x",1)+IF($M$111="x",2)+IF($M$112="x",4)+IF($M$108="x",1)-IF($M$109="x",1)-IF($M$99="x",1)+IF($M$90="x",1)-IF($C$97="x",4,8)-16
&amp;"/"&amp;SUM($C$3,$I$3)+IF(H697="x",1)+$I$16-$B$10+$M$94+IF($C$77="x",2)-IF($C$78="x",4)-IF($I$78="x",1)-IF($I$77="x",2)-IF($I$90="x",2)+IF($I$83="x",2)-IF($C$76="x",4)-$C$112+IF(H693="x",1)+I693+$M$77+IF(H695="x",1)+IF(J695="x",1)+IF($M$76="x",2)+J693+IF($M$85="x",1)+IF($M$113="x",1)+IF($M$120="x",2)+IF($M$119="x",2)+IF($M$105="x",1)+IF($M$110="x",1)+IF($M$111="x",2)+IF($M$112="x",4)+IF($M$108="x",1)-IF($M$109="x",1)-IF($M$99="x",1)+IF($M$90="x",1)-IF($C$97="x",4,10)-16,
$I$3&lt;6,SUM($C$3,$I$3)+IF(H697="x",1)-16+$I$16-$B$10+$M$94+IF($C$77="x",2)-IF($C$78="x",4)-IF($I$78="x",1)-IF($I$77="x",2)-IF($I$90="x",2)+IF($I$83="x",2)-IF($C$76="x",4)-$C$112+IF(H693="x",1)+I693+$M$77+IF(H695="x",1)+IF(J695="x",1)+IF($M$76="x",2)+J693+IF($M$85="x",1)+IF($M$113="x",1)+IF($M$120="x",2)+IF($M$119="x",2)+IF($M$105="x",1)+IF($M$110="x",1)+IF($M$111="x",2)+IF($M$112="x",4)+IF($M$108="x",1)-IF($M$109="x",1)-IF($M$99="x",1)+IF($M$90="x",1),
$I$3&lt;11,SUM($C$3,$I$3)+IF(H697="x",1)-16+$I$16-$B$10+$M$94+IF($C$77="x",2)-IF($C$78="x",4)-IF($I$78="x",1)-IF($I$77="x",2)-IF($I$90="x",2)+IF($I$83="x",2)-IF($C$76="x",4)-$C$112+IF(H693="x",1)+I693+$M$77+IF(H695="x",1)+IF(J695="x",1)+IF($M$76="x",2)+J693+IF($M$85="x",1)+IF($M$113="x",1)+IF($M$120="x",2)+IF($M$119="x",2)+IF($M$105="x",1)+IF($M$110="x",1)+IF($M$111="x",2)+IF($M$112="x",4)+IF($M$108="x",1)-IF($M$109="x",1)-IF($M$99="x",1)+IF($M$90="x",1)
&amp;"/"&amp;SUM($C$3,$I$3)+IF(H697="x",1)-16+$I$16-$B$10+$M$94+IF($C$77="x",2)-IF($C$78="x",4)-IF($I$78="x",1)-IF($I$77="x",2)-IF($I$90="x",2)+IF($I$83="x",2)-IF($C$76="x",4)-$C$112+IF(H693="x",1)+I693+$M$77+IF(H695="x",1)+IF(J695="x",1)+IF($M$76="x",2)+J693+IF($M$85="x",1)+IF($M$113="x",1)+IF($M$120="x",2)+IF($M$119="x",2)+IF($M$105="x",1)+IF($M$110="x",1)+IF($M$111="x",2)+IF($M$112="x",4)+IF($M$108="x",1)-IF($M$109="x",1)-IF($M$99="x",1)+IF($M$90="x",1)-5,
$I$3&lt;16,SUM($C$3,$I$3)+IF(H697="x",1)-16+$I$16-$B$10+$M$94+IF($C$77="x",2)-IF($C$78="x",4)-IF($I$78="x",1)-IF($I$77="x",2)-IF($I$90="x",2)+IF($I$83="x",2)-IF($C$76="x",4)-$C$112+IF(H693="x",1)+I693+$M$77+IF(H695="x",1)+IF(J695="x",1)+IF($M$76="x",2)+J693+IF($M$85="x",1)+IF($M$113="x",1)+IF($M$120="x",2)+IF($M$119="x",2)+IF($M$105="x",1)+IF($M$110="x",1)+IF($M$111="x",2)+IF($M$112="x",4)+IF($M$108="x",1)-IF($M$109="x",1)-IF($M$99="x",1)+IF($M$90="x",1)
&amp;"/"&amp;SUM($C$3,$I$3)+IF(H697="x",1)-16+$I$16-$B$10+$M$94+IF($C$77="x",2)-IF($C$78="x",4)-IF($I$78="x",1)-IF($I$77="x",2)-IF($I$90="x",2)+IF($I$83="x",2)-IF($C$76="x",4)-$C$112+IF(H693="x",1)+I693+$M$77+IF(H695="x",1)+IF(J695="x",1)+IF($M$76="x",2)+J693+IF($M$85="x",1)+IF($M$113="x",1)+IF($M$120="x",2)+IF($M$119="x",2)+IF($M$105="x",1)+IF($M$110="x",1)+IF($M$111="x",2)+IF($M$112="x",4)+IF($M$108="x",1)-IF($M$109="x",1)-IF($M$99="x",1)+IF($M$90="x",1)-5
&amp;"/"&amp;SUM($C$3,$I$3)+IF(H697="x",1)-16+$I$16-$B$10+$M$94+IF($C$77="x",2)-IF($C$78="x",4)-IF($I$78="x",1)-IF($I$77="x",2)-IF($I$90="x",2)+IF($I$83="x",2)-IF($C$76="x",4)-$C$112+IF(H693="x",1)+I693+$M$77+IF(H695="x",1)+IF(J695="x",1)+IF($M$76="x",2)+J693+IF($M$85="x",1)+IF($M$113="x",1)+IF($M$120="x",2)+IF($M$119="x",2)+IF($M$105="x",1)+IF($M$110="x",1)+IF($M$111="x",2)+IF($M$112="x",4)+IF($M$108="x",1)-IF($M$109="x",1)-IF($M$99="x",1)+IF($M$90="x",1)-10,
$I$3&gt;=16,SUM($C$3,$I$3)+IF(H697="x",1)-16+$I$16-$B$10+$M$94+IF($C$77="x",2)-IF($C$78="x",4)-IF($I$78="x",1)-IF($I$77="x",2)-IF($I$90="x",2)+IF($I$83="x",2)-IF($C$76="x",4)-$C$112+IF(H693="x",1)+I693+$M$77+IF(H695="x",1)+IF(J695="x",1)+IF($M$76="x",2)+J693+IF($M$85="x",1)+IF($M$113="x",1)+IF($M$120="x",2)+IF($M$119="x",2)+IF($M$105="x",1)+IF($M$110="x",1)+IF($M$111="x",2)+IF($M$112="x",4)+IF($M$108="x",1)-IF($M$109="x",1)-IF($M$99="x",1)+IF($M$90="x",1)
&amp;"/"&amp;SUM($C$3,$I$3)+IF(H697="x",1)-16+$I$16-$B$10+$M$94+IF($C$77="x",2)-IF($C$78="x",4)-IF($I$78="x",1)-IF($I$77="x",2)-IF($I$90="x",2)+IF($I$83="x",2)-IF($C$76="x",4)-$C$112+IF(H693="x",1)+I693+$M$77+IF(H695="x",1)+IF(J695="x",1)+IF($M$76="x",2)+J693+IF($M$85="x",1)+IF($M$113="x",1)+IF($M$120="x",2)+IF($M$119="x",2)+IF($M$105="x",1)+IF($M$110="x",1)+IF($M$111="x",2)+IF($M$112="x",4)+IF($M$108="x",1)-IF($M$109="x",1)-IF($M$99="x",1)+IF($M$90="x",1)-5
&amp;"/"&amp;SUM($C$3,$I$3)+IF(H697="x",1)-16+$I$16-$B$10+$M$94+IF($C$77="x",2)-IF($C$78="x",4)-IF($I$78="x",1)-IF($I$77="x",2)-IF($I$90="x",2)+IF($I$83="x",2)-IF($C$76="x",4)-$C$112+IF(H693="x",1)+I693+$M$77+IF(H695="x",1)+IF(J695="x",1)+IF($M$76="x",2)+J693+IF($M$85="x",1)+IF($M$113="x",1)+IF($M$120="x",2)+IF($M$119="x",2)+IF($M$105="x",1)+IF($M$110="x",1)+IF($M$111="x",2)+IF($M$112="x",4)+IF($M$108="x",1)-IF($M$109="x",1)-IF($M$99="x",1)+IF($M$90="x",1)-10
&amp;"/"&amp;SUM($C$3,$I$3)+IF(H697="x",1)-16+$I$16-$B$10+$M$94+IF($C$77="x",2)-IF($C$78="x",4)-IF($I$78="x",1)-IF($I$77="x",2)-IF($I$90="x",2)+IF($I$83="x",2)-IF($C$76="x",4)-$C$112+IF(H693="x",1)+I693+$M$77+IF(H695="x",1)+IF(J695="x",1)+IF($M$76="x",2)+J693+IF($M$85="x",1)+IF($M$113="x",1)+IF($M$120="x",2)+IF($M$119="x",2)+IF($M$105="x",1)+IF($M$110="x",1)+IF($M$111="x",2)+IF($M$112="x",4)+IF($M$108="x",1)-IF($M$109="x",1)-IF($M$99="x",1)+IF($M$90="x",1)-15)</f>
        <v>-16</v>
      </c>
      <c r="C701" s="82"/>
      <c r="D701" s="121"/>
      <c r="E701" s="82"/>
      <c r="F701" s="82"/>
      <c r="G701" s="82"/>
      <c r="H701" s="82"/>
      <c r="I701" s="155"/>
      <c r="AB701" s="59"/>
      <c r="AC701" s="51"/>
      <c r="AD701" s="49"/>
      <c r="AE701" s="51"/>
      <c r="AF701" s="49"/>
      <c r="AG701" s="49"/>
      <c r="AH701" s="49"/>
      <c r="AI701" s="49"/>
      <c r="AJ701" s="40"/>
      <c r="AK701" s="65"/>
      <c r="AL701" s="65"/>
    </row>
    <row r="702" spans="1:38" x14ac:dyDescent="0.2">
      <c r="A702" s="127">
        <f>A693*10</f>
        <v>800</v>
      </c>
      <c r="B702" s="123">
        <f>_xlfn.IFS($I$85="x","PAINISSA",
I697="x",SUM($C$3,$I$3)+IF(H697="x",1)+$I$16-$B$10+$M$94+IF($C$77="x",2)-IF($C$78="x",4)-IF($I$78="x",1)-IF($I$77="x",2)-IF($I$90="x",2)+IF($I$83="x",2)-IF($C$76="x",4)-$C$112+IF(H693="x",1)+I693+$M$77+IF(H695="x",1)+IF(J695="x",1)+IF($M$76="x",2)+J693+IF($M$85="x",1)+IF($M$113="x",1)+IF($M$120="x",2)+IF($M$119="x",2)+IF($M$105="x",1)+IF($M$110="x",1)+IF($M$111="x",2)+IF($M$112="x",4)+IF($M$108="x",1)-IF($M$109="x",1)-IF($M$99="x",1)+IF($M$90="x",1)-2-18,
J697="x",SUM($C$3,$I$3)+IF(H697="x",1)+$I$16-$B$10+$M$94+IF($C$77="x",2)-IF($C$78="x",4)-IF($I$78="x",1)-IF($I$77="x",2)-IF($I$90="x",2)+IF($I$83="x",2)-IF($C$76="x",4)-$C$112+IF(H693="x",1)+I693+$M$77+IF(H695="x",1)+IF(J695="x",1)+IF($M$76="x",2)+J693+IF($M$85="x",1)+IF($M$113="x",1)+IF($M$120="x",2)+IF($M$119="x",2)+IF($M$105="x",1)+IF($M$110="x",1)+IF($M$111="x",2)+IF($M$112="x",4)+IF($M$108="x",1)-IF($M$109="x",1)-IF($M$99="x",1)+IF($M$90="x",1)-IF($C$97="x",4,8)-18
&amp;"/"&amp;SUM($C$3,$I$3)+IF(H697="x",1)+$I$16-$B$10+$M$94+IF($C$77="x",2)-IF($C$78="x",4)-IF($I$78="x",1)-IF($I$77="x",2)-IF($I$90="x",2)+IF($I$83="x",2)-IF($C$76="x",4)-$C$112+IF(H693="x",1)+I693+$M$77+IF(H695="x",1)+IF(J695="x",1)+IF($M$76="x",2)+J693+IF($M$85="x",1)+IF($M$113="x",1)+IF($M$120="x",2)+IF($M$119="x",2)+IF($M$105="x",1)+IF($M$110="x",1)+IF($M$111="x",2)+IF($M$112="x",4)+IF($M$108="x",1)-IF($M$109="x",1)-IF($M$99="x",1)+IF($M$90="x",1)-IF($C$97="x",4,10)-18,
$I$3&lt;6,SUM($C$3,$I$3)+IF(H697="x",1)-18+$I$16-$B$10+$M$94+IF($C$77="x",2)-IF($C$78="x",4)-IF($I$78="x",1)-IF($I$77="x",2)-IF($I$90="x",2)+IF($I$83="x",2)-IF($C$76="x",4)-$C$112+IF(H693="x",1)+I693+$M$77+IF(H695="x",1)+IF(J695="x",1)+IF($M$76="x",2)+J693+IF($M$85="x",1)+IF($M$113="x",1)+IF($M$120="x",2)+IF($M$119="x",2)+IF($M$105="x",1)+IF($M$110="x",1)+IF($M$111="x",2)+IF($M$112="x",4)+IF($M$108="x",1)-IF($M$109="x",1)-IF($M$99="x",1)+IF($M$90="x",1),
$I$3&lt;11,SUM($C$3,$I$3)+IF(H697="x",1)-18+$I$16-$B$10+$M$94+IF($C$77="x",2)-IF($C$78="x",4)-IF($I$78="x",1)-IF($I$77="x",2)-IF($I$90="x",2)+IF($I$83="x",2)-IF($C$76="x",4)-$C$112+IF(H693="x",1)+I693+$M$77+IF(H695="x",1)+IF(J695="x",1)+IF($M$76="x",2)+J693+IF($M$85="x",1)+IF($M$113="x",1)+IF($M$120="x",2)+IF($M$119="x",2)+IF($M$105="x",1)+IF($M$110="x",1)+IF($M$111="x",2)+IF($M$112="x",4)+IF($M$108="x",1)-IF($M$109="x",1)-IF($M$99="x",1)+IF($M$90="x",1)
&amp;"/"&amp;SUM($C$3,$I$3)+IF(H697="x",1)-18+$I$16-$B$10+$M$94+IF($C$77="x",2)-IF($C$78="x",4)-IF($I$78="x",1)-IF($I$77="x",2)-IF($I$90="x",2)+IF($I$83="x",2)-IF($C$76="x",4)-$C$112+IF(H693="x",1)+I693+$M$77+IF(H695="x",1)+IF(J695="x",1)+IF($M$76="x",2)+J693+IF($M$85="x",1)+IF($M$113="x",1)+IF($M$120="x",2)+IF($M$119="x",2)+IF($M$105="x",1)+IF($M$110="x",1)+IF($M$111="x",2)+IF($M$112="x",4)+IF($M$108="x",1)-IF($M$109="x",1)-IF($M$99="x",1)+IF($M$90="x",1)-5,
$I$3&lt;16,SUM($C$3,$I$3)+IF(H697="x",1)-18+$I$16-$B$10+$M$94+IF($C$77="x",2)-IF($C$78="x",4)-IF($I$78="x",1)-IF($I$77="x",2)-IF($I$90="x",2)+IF($I$83="x",2)-IF($C$76="x",4)-$C$112+IF(H693="x",1)+I693+$M$77+IF(H695="x",1)+IF(J695="x",1)+IF($M$76="x",2)+J693+IF($M$85="x",1)+IF($M$113="x",1)+IF($M$120="x",2)+IF($M$119="x",2)+IF($M$105="x",1)+IF($M$110="x",1)+IF($M$111="x",2)+IF($M$112="x",4)+IF($M$108="x",1)-IF($M$109="x",1)-IF($M$99="x",1)+IF($M$90="x",1)
&amp;"/"&amp;SUM($C$3,$I$3)+IF(H697="x",1)-18+$I$16-$B$10+$M$94+IF($C$77="x",2)-IF($C$78="x",4)-IF($I$78="x",1)-IF($I$77="x",2)-IF($I$90="x",2)+IF($I$83="x",2)-IF($C$76="x",4)-$C$112+IF(H693="x",1)+I693+$M$77+IF(H695="x",1)+IF(J695="x",1)+IF($M$76="x",2)+J693+IF($M$85="x",1)+IF($M$113="x",1)+IF($M$120="x",2)+IF($M$119="x",2)+IF($M$105="x",1)+IF($M$110="x",1)+IF($M$111="x",2)+IF($M$112="x",4)+IF($M$108="x",1)-IF($M$109="x",1)-IF($M$99="x",1)+IF($M$90="x",1)-5
&amp;"/"&amp;SUM($C$3,$I$3)+IF(H697="x",1)-18+$I$16-$B$10+$M$94+IF($C$77="x",2)-IF($C$78="x",4)-IF($I$78="x",1)-IF($I$77="x",2)-IF($I$90="x",2)+IF($I$83="x",2)-IF($C$76="x",4)-$C$112+IF(H693="x",1)+I693+$M$77+IF(H695="x",1)+IF(J695="x",1)+IF($M$76="x",2)+J693+IF($M$85="x",1)+IF($M$113="x",1)+IF($M$120="x",2)+IF($M$119="x",2)+IF($M$105="x",1)+IF($M$110="x",1)+IF($M$111="x",2)+IF($M$112="x",4)+IF($M$108="x",1)-IF($M$109="x",1)-IF($M$99="x",1)+IF($M$90="x",1)-10,
$I$3&gt;=16,SUM($C$3,$I$3)+IF(H697="x",1)-18+$I$16-$B$10+$M$94+IF($C$77="x",2)-IF($C$78="x",4)-IF($I$78="x",1)-IF($I$77="x",2)-IF($I$90="x",2)+IF($I$83="x",2)-IF($C$76="x",4)-$C$112+IF(H693="x",1)+I693+$M$77+IF(H695="x",1)+IF(J695="x",1)+IF($M$76="x",2)+J693+IF($M$85="x",1)+IF($M$113="x",1)+IF($M$120="x",2)+IF($M$119="x",2)+IF($M$105="x",1)+IF($M$110="x",1)+IF($M$111="x",2)+IF($M$112="x",4)+IF($M$108="x",1)-IF($M$109="x",1)-IF($M$99="x",1)+IF($M$90="x",1)
&amp;"/"&amp;SUM($C$3,$I$3)+IF(H697="x",1)-18+$I$16-$B$10+$M$94+IF($C$77="x",2)-IF($C$78="x",4)-IF($I$78="x",1)-IF($I$77="x",2)-IF($I$90="x",2)+IF($I$83="x",2)-IF($C$76="x",4)-$C$112+IF(H693="x",1)+I693+$M$77+IF(H695="x",1)+IF(J695="x",1)+IF($M$76="x",2)+J693+IF($M$85="x",1)+IF($M$113="x",1)+IF($M$120="x",2)+IF($M$119="x",2)+IF($M$105="x",1)+IF($M$110="x",1)+IF($M$111="x",2)+IF($M$112="x",4)+IF($M$108="x",1)-IF($M$109="x",1)-IF($M$99="x",1)+IF($M$90="x",1)-5
&amp;"/"&amp;SUM($C$3,$I$3)+IF(H697="x",1)-18+$I$16-$B$10+$M$94+IF($C$77="x",2)-IF($C$78="x",4)-IF($I$78="x",1)-IF($I$77="x",2)-IF($I$90="x",2)+IF($I$83="x",2)-IF($C$76="x",4)-$C$112+IF(H693="x",1)+I693+$M$77+IF(H695="x",1)+IF(J695="x",1)+IF($M$76="x",2)+J693+IF($M$85="x",1)+IF($M$113="x",1)+IF($M$120="x",2)+IF($M$119="x",2)+IF($M$105="x",1)+IF($M$110="x",1)+IF($M$111="x",2)+IF($M$112="x",4)+IF($M$108="x",1)-IF($M$109="x",1)-IF($M$99="x",1)+IF($M$90="x",1)-10
&amp;"/"&amp;SUM($C$3,$I$3)+IF(H697="x",1)-18+$I$16-$B$10+$M$94+IF($C$77="x",2)-IF($C$78="x",4)-IF($I$78="x",1)-IF($I$77="x",2)-IF($I$90="x",2)+IF($I$83="x",2)-IF($C$76="x",4)-$C$112+IF(H693="x",1)+I693+$M$77+IF(H695="x",1)+IF(J695="x",1)+IF($M$76="x",2)+J693+IF($M$85="x",1)+IF($M$113="x",1)+IF($M$120="x",2)+IF($M$119="x",2)+IF($M$105="x",1)+IF($M$110="x",1)+IF($M$111="x",2)+IF($M$112="x",4)+IF($M$108="x",1)-IF($M$109="x",1)-IF($M$99="x",1)+IF($M$90="x",1)-15)</f>
        <v>-18</v>
      </c>
      <c r="C702" s="82"/>
      <c r="D702" s="121"/>
      <c r="E702" s="82"/>
      <c r="I702" s="155"/>
      <c r="J702" s="25"/>
      <c r="K702" s="25"/>
      <c r="AB702" s="62"/>
      <c r="AC702" s="53"/>
      <c r="AD702" s="49"/>
      <c r="AE702" s="51"/>
      <c r="AF702" s="49"/>
      <c r="AG702" s="49"/>
      <c r="AH702" s="49"/>
      <c r="AI702" s="49"/>
      <c r="AJ702" s="49"/>
      <c r="AK702" s="65"/>
      <c r="AL702" s="65"/>
    </row>
    <row r="703" spans="1:38" x14ac:dyDescent="0.2">
      <c r="A703" s="46"/>
      <c r="B703" s="45"/>
      <c r="C703" s="45"/>
      <c r="D703" s="45"/>
      <c r="E703" s="45"/>
      <c r="F703" s="45"/>
      <c r="G703" s="45"/>
      <c r="H703" s="45"/>
      <c r="I703" s="45"/>
      <c r="J703" s="45"/>
      <c r="K703" s="45"/>
      <c r="AB703" s="59"/>
      <c r="AC703" s="51"/>
      <c r="AD703" s="49"/>
      <c r="AE703" s="51"/>
      <c r="AF703" s="49"/>
      <c r="AG703" s="49"/>
      <c r="AH703" s="49"/>
      <c r="AI703" s="49"/>
      <c r="AJ703" s="67"/>
    </row>
    <row r="704" spans="1:38" x14ac:dyDescent="0.2">
      <c r="A704" s="46"/>
      <c r="B704" s="48"/>
      <c r="C704" s="48"/>
      <c r="D704" s="48"/>
      <c r="E704" s="48"/>
      <c r="F704" s="48"/>
      <c r="G704" s="48"/>
      <c r="H704" s="48"/>
      <c r="I704" s="48"/>
      <c r="J704" s="48"/>
      <c r="K704" s="48"/>
      <c r="AB704" s="62"/>
      <c r="AC704" s="53"/>
      <c r="AD704" s="49"/>
      <c r="AE704" s="51"/>
      <c r="AF704" s="49"/>
      <c r="AG704" s="40"/>
      <c r="AH704" s="40"/>
      <c r="AI704" s="40"/>
      <c r="AJ704" s="67"/>
      <c r="AK704" s="50"/>
      <c r="AL704" s="50"/>
    </row>
    <row r="705" spans="1:38" x14ac:dyDescent="0.2">
      <c r="A705" s="34" t="s">
        <v>269</v>
      </c>
      <c r="B705" s="11" t="s">
        <v>1</v>
      </c>
      <c r="C705" s="11" t="s">
        <v>2</v>
      </c>
      <c r="D705" s="11" t="s">
        <v>3</v>
      </c>
      <c r="E705" s="11" t="s">
        <v>229</v>
      </c>
      <c r="F705" s="11" t="s">
        <v>3</v>
      </c>
      <c r="G705" s="11" t="s">
        <v>45</v>
      </c>
      <c r="H705" s="14" t="s">
        <v>179</v>
      </c>
      <c r="I705" s="11" t="s">
        <v>242</v>
      </c>
      <c r="J705" s="11" t="s">
        <v>224</v>
      </c>
      <c r="K705" s="11" t="s">
        <v>225</v>
      </c>
    </row>
    <row r="706" spans="1:38" x14ac:dyDescent="0.2">
      <c r="A706" s="126">
        <f>IF($C$98="x",80*1.5,80)</f>
        <v>80</v>
      </c>
      <c r="B706" s="121">
        <f>_xlfn.IFS($I$85="x","PAINISSA",
I710="x",SUM($C$3,$I$3)+IF(H710="x",1)+$I$16-$B$10+$M$94+IF($C$77="x",2)-IF($C$78="x",4)-IF($I$78="x",1)-IF($I$77="x",2)-IF($I$90="x",2)+IF($I$83="x",2)-IF($C$76="x",4)-$C$112+IF(H706="x",1)+I706+$M$77+IF(H708="x",1)+IF(J708="x",1)+IF($M$76="x",2)+J706+IF($M$85="x",1)+IF($M$113="x",1)+IF($M$120="x",2)+IF($M$119="x",2)+IF($M$105="x",1)+IF($M$110="x",1)+IF($M$111="x",2)+IF($M$112="x",4)+IF($M$108="x",1)-IF($M$109="x",1)-IF($M$99="x",1)+IF($M$90="x",1)-2,
J710="x",SUM($C$3,$I$3)+IF(H710="x",1)+$I$16-$B$10+$M$94+IF($C$77="x",2)-IF($C$78="x",4)-IF($I$78="x",1)-IF($I$77="x",2)-IF($I$90="x",2)+IF($I$83="x",2)-IF($C$76="x",4)-$C$112+IF(H706="x",1)+I706+$M$77+IF(H708="x",1)+IF(J708="x",1)+IF($M$76="x",2)+J706+IF($M$85="x",1)+IF($M$113="x",1)+IF($M$120="x",2)+IF($M$119="x",2)+IF($M$105="x",1)+IF($M$110="x",1)+IF($M$111="x",2)+IF($M$112="x",4)+IF($M$108="x",1)-IF($M$109="x",1)-IF($M$99="x",1)+IF($M$90="x",1)-IF($C$97="x",4,6)
&amp;"/"&amp;SUM($C$3,$I$3)+IF(H710="x",1)+$I$16-$B$10+$M$94+IF($C$77="x",2)-IF($C$78="x",4)-IF($I$78="x",1)-IF($I$77="x",2)-IF($I$90="x",2)+IF($I$83="x",2)-IF($C$76="x",4)-$C$112+IF(H706="x",1)+I706+$M$77+IF(H708="x",1)+IF(J708="x",1)+IF($M$76="x",2)+J706+IF($M$85="x",1)+IF($M$113="x",1)+IF($M$120="x",2)+IF($M$119="x",2)+IF($M$105="x",1)+IF($M$110="x",1)+IF($M$111="x",2)+IF($M$112="x",4)+IF($M$108="x",1)-IF($M$109="x",1)-IF($M$99="x",1)+IF($M$90="x",1)-IF($C$97="x",4,10),
$C$105&lt;&gt;"x",SUM($C$3,$I$3)+IF(H710="x",1)+$I$16-$B$10+$M$94+IF($C$77="x",2)-IF($C$78="x",4)-IF($I$78="x",1)-IF($I$77="x",2)-IF($I$90="x",2)+IF($I$83="x",2)-IF($C$76="x",4)-$C$112+IF(H706="x",1)+I706+$M$77+IF(H708="x",1)+IF(J708="x",1)+IF($M$76="x",2)+J706+IF($M$85="x",1)+IF($M$113="x",1)+IF($M$120="x",2)+IF($M$119="x",2)+IF($M$105="x",1)+IF($M$110="x",1)+IF($M$111="x",2)+IF($M$112="x",4)+IF($M$108="x",1)-IF($M$109="x",1)-IF($M$99="x",1)+IF($M$90="x",1),
$I$3&lt;6,SUM($C$3,$I$3)+IF(H710="x",1)+$I$16-$B$10+$M$94+IF($C$77="x",2)-IF($C$78="x",4)-IF($I$78="x",1)-IF($I$77="x",2)-IF($I$90="x",2)+IF($I$83="x",2)-IF($C$76="x",4)-$C$112+IF(H706="x",1)+I706+$M$77+IF(H708="x",1)+IF(J708="x",1)+IF($M$76="x",2)+J706+IF($M$85="x",1)+IF($M$113="x",1)+IF($M$120="x",2)+IF($M$119="x",2)+IF($M$105="x",1)+IF($M$110="x",1)+IF($M$111="x",2)+IF($M$112="x",4)+IF($M$108="x",1)-IF($M$109="x",1)-IF($M$99="x",1)+IF($M$90="x",1),
$I$3&lt;11,SUM($C$3,$I$3)+IF(H710="x",1)+$I$16-$B$10+$M$94+IF($C$77="x",2)-IF($C$78="x",4)-IF($I$78="x",1)-IF($I$77="x",2)-IF($I$90="x",2)+IF($I$83="x",2)-IF($C$76="x",4)-$C$112+IF(H706="x",1)+I706+$M$77+IF(H708="x",1)+IF(J708="x",1)+IF($M$76="x",2)+J706+IF($M$85="x",1)+IF($M$113="x",1)+IF($M$120="x",2)+IF($M$119="x",2)+IF($M$105="x",1)+IF($M$110="x",1)+IF($M$111="x",2)+IF($M$112="x",4)+IF($M$108="x",1)-IF($M$109="x",1)-IF($M$99="x",1)+IF($M$90="x",1)
&amp;"/"&amp;SUM($C$3,$I$3)+IF(H710="x",1)+$I$16-$B$10+$M$94+IF($C$77="x",2)-IF($C$78="x",4)-IF($I$78="x",1)-IF($I$77="x",2)-IF($I$90="x",2)+IF($I$83="x",2)-IF($C$76="x",4)-$C$112+IF(H706="x",1)+I706+$M$77+IF(H708="x",1)+IF(J708="x",1)+IF($M$76="x",2)+J706+IF($M$85="x",1)+IF($M$113="x",1)+IF($M$120="x",2)+IF($M$119="x",2)+IF($M$105="x",1)+IF($M$110="x",1)+IF($M$111="x",2)+IF($M$112="x",4)+IF($M$108="x",1)-IF($M$109="x",1)-IF($M$99="x",1)+IF($M$90="x",1)-5,
$I$3&lt;16,SUM($C$3,$I$3)+IF(H710="x",1)+$I$16-$B$10+$M$94+IF($C$77="x",2)-IF($C$78="x",4)-IF($I$78="x",1)-IF($I$77="x",2)-IF($I$90="x",2)+IF($I$83="x",2)-IF($C$76="x",4)-$C$112+IF(H706="x",1)+I706+$M$77+IF(H708="x",1)+IF(J708="x",1)+IF($M$76="x",2)+J706+IF($M$85="x",1)+IF($M$113="x",1)+IF($M$120="x",2)+IF($M$119="x",2)+IF($M$105="x",1)+IF($M$110="x",1)+IF($M$111="x",2)+IF($M$112="x",4)+IF($M$108="x",1)-IF($M$109="x",1)-IF($M$99="x",1)+IF($M$90="x",1)
&amp;"/"&amp;SUM($C$3,$I$3)+IF(H710="x",1)+$I$16-$B$10+$M$94+IF($C$77="x",2)-IF($C$78="x",4)-IF($I$78="x",1)-IF($I$77="x",2)-IF($I$90="x",2)+IF($I$83="x",2)-IF($C$76="x",4)-$C$112+IF(H706="x",1)+I706+$M$77+IF(H708="x",1)+IF(J708="x",1)+IF($M$76="x",2)+J706+IF($M$85="x",1)+IF($M$113="x",1)+IF($M$120="x",2)+IF($M$119="x",2)+IF($M$105="x",1)+IF($M$110="x",1)+IF($M$111="x",2)+IF($M$112="x",4)+IF($M$108="x",1)-IF($M$109="x",1)-IF($M$99="x",1)+IF($M$90="x",1)-5
&amp;"/"&amp;SUM($C$3,$I$3)+IF(H710="x",1)+$I$16-$B$10+$M$94+IF($C$77="x",2)-IF($C$78="x",4)-IF($I$78="x",1)-IF($I$77="x",2)-IF($I$90="x",2)+IF($I$83="x",2)-IF($C$76="x",4)-$C$112+IF(H706="x",1)+I706+$M$77+IF(H708="x",1)+IF(J708="x",1)+IF($M$76="x",2)+J706+IF($M$85="x",1)+IF($M$113="x",1)+IF($M$120="x",2)+IF($M$119="x",2)+IF($M$105="x",1)+IF($M$110="x",1)+IF($M$111="x",2)+IF($M$112="x",4)+IF($M$108="x",1)-IF($M$109="x",1)-IF($M$99="x",1)+IF($M$90="x",1)-10,
$I$3&gt;=16,SUM($C$3,$I$3)+IF(H710="x",1)+$I$16-$B$10+$M$94+IF($C$77="x",2)-IF($C$78="x",4)-IF($I$78="x",1)-IF($I$77="x",2)-IF($I$90="x",2)+IF($I$83="x",2)-IF($C$76="x",4)-$C$112+IF(H706="x",1)+I706+$M$77+IF(H708="x",1)+IF(J708="x",1)+IF($M$76="x",2)+J706+IF($M$85="x",1)+IF($M$113="x",1)+IF($M$120="x",2)+IF($M$119="x",2)+IF($M$105="x",1)+IF($M$110="x",1)+IF($M$111="x",2)+IF($M$112="x",4)+IF($M$108="x",1)-IF($M$109="x",1)-IF($M$99="x",1)+IF($M$90="x",1)
&amp;"/"&amp;SUM($C$3,$I$3)+IF(H710="x",1)+$I$16-$B$10+$M$94+IF($C$77="x",2)-IF($C$78="x",4)-IF($I$78="x",1)-IF($I$77="x",2)-IF($I$90="x",2)+IF($I$83="x",2)-IF($C$76="x",4)-$C$112+IF(H706="x",1)+I706+$M$77+IF(H708="x",1)+IF(J708="x",1)+IF($M$76="x",2)+J706+IF($M$85="x",1)+IF($M$113="x",1)+IF($M$120="x",2)+IF($M$119="x",2)+IF($M$105="x",1)+IF($M$110="x",1)+IF($M$111="x",2)+IF($M$112="x",4)+IF($M$108="x",1)-IF($M$109="x",1)-IF($M$99="x",1)+IF($M$90="x",1)-5
&amp;"/"&amp;SUM($C$3,$I$3)+IF(H710="x",1)+$I$16-$B$10+$M$94+IF($C$77="x",2)-IF($C$78="x",4)-IF($I$78="x",1)-IF($I$77="x",2)-IF($I$90="x",2)+IF($I$83="x",2)-IF($C$76="x",4)-$C$112+IF(H706="x",1)+I706+$M$77+IF(H708="x",1)+IF(J708="x",1)+IF($M$76="x",2)+J706+IF($M$85="x",1)+IF($M$113="x",1)+IF($M$120="x",2)+IF($M$119="x",2)+IF($M$105="x",1)+IF($M$110="x",1)+IF($M$111="x",2)+IF($M$112="x",4)+IF($M$108="x",1)-IF($M$109="x",1)-IF($M$99="x",1)+IF($M$90="x",1)-10
&amp;"/"&amp;SUM($C$3,$I$3)+IF(H710="x",1)+$I$16-$B$10+$M$94+IF($C$77="x",2)-IF($C$78="x",4)-IF($I$78="x",1)-IF($I$77="x",2)-IF($I$90="x",2)+IF($I$83="x",2)-IF($C$76="x",4)-$C$112+IF(H706="x",1)+I706+$M$77+IF(H708="x",1)+IF(J708="x",1)+IF($M$76="x",2)+J706+IF($M$85="x",1)+IF($M$113="x",1)+IF($M$120="x",2)+IF($M$119="x",2)+IF($M$105="x",1)+IF($M$110="x",1)+IF($M$111="x",2)+IF($M$112="x",4)+IF($M$108="x",1)-IF($M$109="x",1)-IF($M$99="x",1)+IF($M$90="x",1)-15)</f>
        <v>0</v>
      </c>
      <c r="C706" s="49" t="str">
        <f>_xlfn.IFS($C$7="Minimaalinen","1n2",$C$7="Taskukokoinen","1n3",$C$7="Hyvin pieni","1n4",$C$7="Pieni","1n6",$C$7="Keskikokoinen","1n8",$C$7="Iso","2n6",$C$7="Valtava","3n6",$C$7="Suunnaton","4n6",$C$7="Giganttinen","6n6")</f>
        <v>1n8</v>
      </c>
      <c r="D706" s="51">
        <f>IF(H710="x",1,0)+IF(I708="x",2)+IF(K708="x",2)+I706+K706</f>
        <v>0</v>
      </c>
      <c r="E706" s="49" t="str">
        <f>_xlfn.IFS($C$7="Minimaalinen","2n2",$C$7="Taskukokoinen","2n3",$C$7="Hyvin pieni","2n4",$C$7="Pieni","2n6",$C$7="Keskikokoinen","2n8",$C$7="Iso","4n6",$C$7="Valtava","6n6",$C$7="Suunnaton","8n6",$C$7="Giganttinen","12n6")</f>
        <v>2n8</v>
      </c>
      <c r="F706" s="82">
        <f>SUM(D706*2)</f>
        <v>0</v>
      </c>
      <c r="G706" s="82" t="str">
        <f>(IF($I$89="x","50 %","")&amp;(IF($C$81="x","20 %",""))&amp;(IF($C$82="x","50 %",""&amp;IF($M$91="x","50 % (5 j 20 %)",""&amp;IF($M$115="x","50 % (5 j 20 %)","")))))</f>
        <v/>
      </c>
      <c r="H706" s="28"/>
      <c r="I706" s="17">
        <v>0</v>
      </c>
      <c r="J706" s="17">
        <v>0</v>
      </c>
      <c r="K706" s="17">
        <v>0</v>
      </c>
    </row>
    <row r="707" spans="1:38" x14ac:dyDescent="0.2">
      <c r="A707" s="127">
        <f>A706*2</f>
        <v>160</v>
      </c>
      <c r="B707" s="123">
        <f>_xlfn.IFS($I$85="x","PAINISSA",
I710="x",SUM($C$3,$I$3)+IF(H710="x",1)+$I$16-$B$10+$M$94+IF($C$77="x",2)-IF($C$78="x",4)-IF($I$78="x",1)-IF($I$77="x",2)-IF($I$90="x",2)+IF($I$83="x",2)-IF($C$76="x",4)-$C$112+IF(H706="x",1)+I706+$M$77+IF(H708="x",1)+IF(J708="x",1)+IF($M$76="x",2)+J706+IF($M$85="x",1)+IF($M$113="x",1)+IF($M$120="x",2)+IF($M$119="x",2)+IF($M$105="x",1)+IF($M$110="x",1)+IF($M$111="x",2)+IF($M$112="x",4)+IF($M$108="x",1)-IF($M$109="x",1)-IF($M$99="x",1)+IF($M$90="x",1)-2-2,
J710="x",SUM($C$3,$I$3)+IF(H710="x",1)+$I$16-$B$10+$M$94+IF($C$77="x",2)-IF($C$78="x",4)-IF($I$78="x",1)-IF($I$77="x",2)-IF($I$90="x",2)+IF($I$83="x",2)-IF($C$76="x",4)-$C$112+IF(H706="x",1)+I706+$M$77+IF(H708="x",1)+IF(J708="x",1)+IF($M$76="x",2)+J706+IF($M$85="x",1)+IF($M$113="x",1)+IF($M$120="x",2)+IF($M$119="x",2)+IF($M$105="x",1)+IF($M$110="x",1)+IF($M$111="x",2)+IF($M$112="x",4)+IF($M$108="x",1)-IF($M$109="x",1)-IF($M$99="x",1)+IF($M$90="x",1)-IF($C$97="x",4,6)-2
&amp;"/"&amp;SUM($C$3,$I$3)+IF(H710="x",1)+$I$16-$B$10+$M$94+IF($C$77="x",2)-IF($C$78="x",4)-IF($I$78="x",1)-IF($I$77="x",2)-IF($I$90="x",2)+IF($I$83="x",2)-IF($C$76="x",4)-$C$112+IF(H706="x",1)+I706+$M$77+IF(H708="x",1)+IF(J708="x",1)+IF($M$76="x",2)+J706+IF($M$85="x",1)+IF($M$113="x",1)+IF($M$120="x",2)+IF($M$119="x",2)+IF($M$105="x",1)+IF($M$110="x",1)+IF($M$111="x",2)+IF($M$112="x",4)+IF($M$108="x",1)-IF($M$109="x",1)-IF($M$99="x",1)+IF($M$90="x",1)-IF($C$97="x",4,10)-2,
$C$105&lt;&gt;"x",SUM($C$3,$I$3)+IF(H710="x",1)-2+$I$16-$B$10+$M$94+IF($C$77="x",2)-IF($C$78="x",4)-IF($I$78="x",1)-IF($I$77="x",2)-IF($I$90="x",2)+IF($I$83="x",2)-IF($C$76="x",4)-$C$112+IF(H706="x",1)+I706+$M$77+IF(H708="x",1)+IF(J708="x",1)+IF($M$76="x",2)+J706+IF($M$85="x",1)+IF($M$113="x",1)+IF($M$120="x",2)+IF($M$119="x",2)+IF($M$105="x",1)+IF($M$110="x",1)+IF($M$111="x",2)+IF($M$112="x",4)+IF($M$108="x",1)-IF($M$109="x",1)-IF($M$99="x",1)+IF($M$90="x",1),
$I$3&lt;6,SUM($C$3,$I$3)+IF(H710="x",1)-2+$I$16-$B$10+$M$94+IF($C$77="x",2)-IF($C$78="x",4)-IF($I$78="x",1)-IF($I$77="x",2)-IF($I$90="x",2)+IF($I$83="x",2)-IF($C$76="x",4)-$C$112+IF(H706="x",1)+I706+$M$77+IF(H708="x",1)+IF(J708="x",1)+IF($M$76="x",2)+J706+IF($M$85="x",1)+IF($M$113="x",1)+IF($M$120="x",2)+IF($M$119="x",2)+IF($M$105="x",1)+IF($M$110="x",1)+IF($M$111="x",2)+IF($M$112="x",4)+IF($M$108="x",1)-IF($M$109="x",1)-IF($M$99="x",1)+IF($M$90="x",1),
$I$3&lt;11,SUM($C$3,$I$3)+IF(H710="x",1)-2+$I$16-$B$10+$M$94+IF($C$77="x",2)-IF($C$78="x",4)-IF($I$78="x",1)-IF($I$77="x",2)-IF($I$90="x",2)+IF($I$83="x",2)-IF($C$76="x",4)-$C$112+IF(H706="x",1)+I706+$M$77+IF(H708="x",1)+IF(J708="x",1)+IF($M$76="x",2)+J706+IF($M$85="x",1)+IF($M$113="x",1)+IF($M$120="x",2)+IF($M$119="x",2)+IF($M$105="x",1)+IF($M$110="x",1)+IF($M$111="x",2)+IF($M$112="x",4)+IF($M$108="x",1)-IF($M$109="x",1)-IF($M$99="x",1)+IF($M$90="x",1)
&amp;"/"&amp;SUM($C$3,$I$3)+IF(H710="x",1)-2+$I$16-$B$10+$M$94+IF($C$77="x",2)-IF($C$78="x",4)-IF($I$78="x",1)-IF($I$77="x",2)-IF($I$90="x",2)+IF($I$83="x",2)-IF($C$76="x",4)-$C$112+IF(H706="x",1)+I706+$M$77+IF(H708="x",1)+IF(J708="x",1)+IF($M$76="x",2)+J706+IF($M$85="x",1)+IF($M$113="x",1)+IF($M$120="x",2)+IF($M$119="x",2)+IF($M$105="x",1)+IF($M$110="x",1)+IF($M$111="x",2)+IF($M$112="x",4)+IF($M$108="x",1)-IF($M$109="x",1)-IF($M$99="x",1)+IF($M$90="x",1)-5,
$I$3&lt;16,SUM($C$3,$I$3)+IF(H710="x",1)-2+$I$16-$B$10+$M$94+IF($C$77="x",2)-IF($C$78="x",4)-IF($I$78="x",1)-IF($I$77="x",2)-IF($I$90="x",2)+IF($I$83="x",2)-IF($C$76="x",4)-$C$112+IF(H706="x",1)+I706+$M$77+IF(H708="x",1)+IF(J708="x",1)+IF($M$76="x",2)+J706+IF($M$85="x",1)+IF($M$113="x",1)+IF($M$120="x",2)+IF($M$119="x",2)+IF($M$105="x",1)+IF($M$110="x",1)+IF($M$111="x",2)+IF($M$112="x",4)+IF($M$108="x",1)-IF($M$109="x",1)-IF($M$99="x",1)+IF($M$90="x",1)
&amp;"/"&amp;SUM($C$3,$I$3)+IF(H710="x",1)-2+$I$16-$B$10+$M$94+IF($C$77="x",2)-IF($C$78="x",4)-IF($I$78="x",1)-IF($I$77="x",2)-IF($I$90="x",2)+IF($I$83="x",2)-IF($C$76="x",4)-$C$112+IF(H706="x",1)+I706+$M$77+IF(H708="x",1)+IF(J708="x",1)+IF($M$76="x",2)+J706+IF($M$85="x",1)+IF($M$113="x",1)+IF($M$120="x",2)+IF($M$119="x",2)+IF($M$105="x",1)+IF($M$110="x",1)+IF($M$111="x",2)+IF($M$112="x",4)+IF($M$108="x",1)-IF($M$109="x",1)-IF($M$99="x",1)+IF($M$90="x",1)-5
&amp;"/"&amp;SUM($C$3,$I$3)+IF(H710="x",1)-2+$I$16-$B$10+$M$94+IF($C$77="x",2)-IF($C$78="x",4)-IF($I$78="x",1)-IF($I$77="x",2)-IF($I$90="x",2)+IF($I$83="x",2)-IF($C$76="x",4)-$C$112+IF(H706="x",1)+I706+$M$77+IF(H708="x",1)+IF(J708="x",1)+IF($M$76="x",2)+J706+IF($M$85="x",1)+IF($M$113="x",1)+IF($M$120="x",2)+IF($M$119="x",2)+IF($M$105="x",1)+IF($M$110="x",1)+IF($M$111="x",2)+IF($M$112="x",4)+IF($M$108="x",1)-IF($M$109="x",1)-IF($M$99="x",1)+IF($M$90="x",1)-10,
$I$3&gt;=16,SUM($C$3,$I$3)+IF(H710="x",1)-2+$I$16-$B$10+$M$94+IF($C$77="x",2)-IF($C$78="x",4)-IF($I$78="x",1)-IF($I$77="x",2)-IF($I$90="x",2)+IF($I$83="x",2)-IF($C$76="x",4)-$C$112+IF(H706="x",1)+I706+$M$77+IF(H708="x",1)+IF(J708="x",1)+IF($M$76="x",2)+J706+IF($M$85="x",1)+IF($M$113="x",1)+IF($M$120="x",2)+IF($M$119="x",2)+IF($M$105="x",1)+IF($M$110="x",1)+IF($M$111="x",2)+IF($M$112="x",4)+IF($M$108="x",1)-IF($M$109="x",1)-IF($M$99="x",1)+IF($M$90="x",1)
&amp;"/"&amp;SUM($C$3,$I$3)+IF(H710="x",1)-2+$I$16-$B$10+$M$94+IF($C$77="x",2)-IF($C$78="x",4)-IF($I$78="x",1)-IF($I$77="x",2)-IF($I$90="x",2)+IF($I$83="x",2)-IF($C$76="x",4)-$C$112+IF(H706="x",1)+I706+$M$77+IF(H708="x",1)+IF(J708="x",1)+IF($M$76="x",2)+J706+IF($M$85="x",1)+IF($M$113="x",1)+IF($M$120="x",2)+IF($M$119="x",2)+IF($M$105="x",1)+IF($M$110="x",1)+IF($M$111="x",2)+IF($M$112="x",4)+IF($M$108="x",1)-IF($M$109="x",1)-IF($M$99="x",1)+IF($M$90="x",1)-5
&amp;"/"&amp;SUM($C$3,$I$3)+IF(H710="x",1)-2+$I$16-$B$10+$M$94+IF($C$77="x",2)-IF($C$78="x",4)-IF($I$78="x",1)-IF($I$77="x",2)-IF($I$90="x",2)+IF($I$83="x",2)-IF($C$76="x",4)-$C$112+IF(H706="x",1)+I706+$M$77+IF(H708="x",1)+IF(J708="x",1)+IF($M$76="x",2)+J706+IF($M$85="x",1)+IF($M$113="x",1)+IF($M$120="x",2)+IF($M$119="x",2)+IF($M$105="x",1)+IF($M$110="x",1)+IF($M$111="x",2)+IF($M$112="x",4)+IF($M$108="x",1)-IF($M$109="x",1)-IF($M$99="x",1)+IF($M$90="x",1)-10
&amp;"/"&amp;SUM($C$3,$I$3)+IF(H710="x",1)-2+$I$16-$B$10+$M$94+IF($C$77="x",2)-IF($C$78="x",4)-IF($I$78="x",1)-IF($I$77="x",2)-IF($I$90="x",2)+IF($I$83="x",2)-IF($C$76="x",4)-$C$112+IF(H706="x",1)+I706+$M$77+IF(H708="x",1)+IF(J708="x",1)+IF($M$76="x",2)+J706+IF($M$85="x",1)+IF($M$113="x",1)+IF($M$120="x",2)+IF($M$119="x",2)+IF($M$105="x",1)+IF($M$110="x",1)+IF($M$111="x",2)+IF($M$112="x",4)+IF($M$108="x",1)-IF($M$109="x",1)-IF($M$99="x",1)+IF($M$90="x",1)-15)</f>
        <v>-2</v>
      </c>
      <c r="C707" s="82"/>
      <c r="D707" s="121"/>
      <c r="E707" s="82"/>
      <c r="F707" s="82"/>
      <c r="G707" s="82"/>
      <c r="H707" s="14" t="s">
        <v>220</v>
      </c>
      <c r="I707" s="14" t="s">
        <v>221</v>
      </c>
      <c r="J707" s="14" t="s">
        <v>222</v>
      </c>
      <c r="K707" s="14" t="s">
        <v>223</v>
      </c>
      <c r="AB707" s="46"/>
      <c r="AC707" s="48"/>
      <c r="AD707" s="48"/>
      <c r="AE707" s="48"/>
      <c r="AF707" s="48"/>
      <c r="AG707" s="48"/>
      <c r="AH707" s="48"/>
      <c r="AI707" s="48"/>
      <c r="AJ707" s="48"/>
      <c r="AK707" s="48"/>
      <c r="AL707" s="48"/>
    </row>
    <row r="708" spans="1:38" x14ac:dyDescent="0.2">
      <c r="A708" s="126">
        <f>A706*3</f>
        <v>240</v>
      </c>
      <c r="B708" s="121">
        <f>_xlfn.IFS($I$85="x","PAINISSA",
I710="x",SUM($C$3,$I$3)+IF(H710="x",1)+$I$16-$B$10+$M$94+IF($C$77="x",2)-IF($C$78="x",4)-IF($I$78="x",1)-IF($I$77="x",2)-IF($I$90="x",2)+IF($I$83="x",2)-IF($C$76="x",4)-$C$112+IF(H706="x",1)+I706+$M$77+IF(H708="x",1)+IF(J708="x",1)+IF($M$76="x",2)+J706+IF($M$85="x",1)+IF($M$113="x",1)+IF($M$120="x",2)+IF($M$119="x",2)+IF($M$105="x",1)+IF($M$110="x",1)+IF($M$111="x",2)+IF($M$112="x",4)+IF($M$108="x",1)-IF($M$109="x",1)-IF($M$99="x",1)+IF($M$90="x",1)-2-4,
J710="x",SUM($C$3,$I$3)+IF(H710="x",1)+$I$16-$B$10+$M$94+IF($C$77="x",2)-IF($C$78="x",4)-IF($I$78="x",1)-IF($I$77="x",2)-IF($I$90="x",2)+IF($I$83="x",2)-IF($C$76="x",4)-$C$112+IF(H706="x",1)+I706+$M$77+IF(H708="x",1)+IF(J708="x",1)+IF($M$76="x",2)+J706+IF($M$85="x",1)+IF($M$113="x",1)+IF($M$120="x",2)+IF($M$119="x",2)+IF($M$105="x",1)+IF($M$110="x",1)+IF($M$111="x",2)+IF($M$112="x",4)+IF($M$108="x",1)-IF($M$109="x",1)-IF($M$99="x",1)+IF($M$90="x",1)-IF($C$97="x",4,6)-4
&amp;"/"&amp;SUM($C$3,$I$3)+IF(H710="x",1)+$I$16-$B$10+$M$94+IF($C$77="x",2)-IF($C$78="x",4)-IF($I$78="x",1)-IF($I$77="x",2)-IF($I$90="x",2)+IF($I$83="x",2)-IF($C$76="x",4)-$C$112+IF(H706="x",1)+I706+$M$77+IF(H708="x",1)+IF(J708="x",1)+IF($M$76="x",2)+J706+IF($M$85="x",1)+IF($M$113="x",1)+IF($M$120="x",2)+IF($M$119="x",2)+IF($M$105="x",1)+IF($M$110="x",1)+IF($M$111="x",2)+IF($M$112="x",4)+IF($M$108="x",1)-IF($M$109="x",1)-IF($M$99="x",1)+IF($M$90="x",1)-IF($C$97="x",4,10)-4,
$C$105&lt;&gt;"x",SUM($C$3,$I$3)+IF(H710="x",1)-4+$I$16-$B$10+$M$94+IF($C$77="x",2)-IF($C$78="x",4)-IF($I$78="x",1)-IF($I$77="x",2)-IF($I$90="x",2)+IF($I$83="x",2)-IF($C$76="x",4)-$C$112+IF(H706="x",1)+I706+$M$77+IF(H708="x",1)+IF(J708="x",1)+IF($M$76="x",2)+J706+IF($M$85="x",1)+IF($M$113="x",1)+IF($M$120="x",2)+IF($M$119="x",2)+IF($M$105="x",1)+IF($M$110="x",1)+IF($M$111="x",2)+IF($M$112="x",4)+IF($M$108="x",1)-IF($M$109="x",1)-IF($M$99="x",1)+IF($M$90="x",1),
$I$3&lt;6,SUM($C$3,$I$3)+IF(H710="x",1)-4+$I$16-$B$10+$M$94+IF($C$77="x",2)-IF($C$78="x",4)-IF($I$78="x",1)-IF($I$77="x",2)-IF($I$90="x",2)+IF($I$83="x",2)-IF($C$76="x",4)-$C$112+IF(H706="x",1)+I706+$M$77+IF(H708="x",1)+IF(J708="x",1)+IF($M$76="x",2)+J706+IF($M$85="x",1)+IF($M$113="x",1)+IF($M$120="x",2)+IF($M$119="x",2)+IF($M$105="x",1)+IF($M$110="x",1)+IF($M$111="x",2)+IF($M$112="x",4)+IF($M$108="x",1)-IF($M$109="x",1)-IF($M$99="x",1)+IF($M$90="x",1),
$I$3&lt;11,SUM($C$3,$I$3)+IF(H710="x",1)-4+$I$16-$B$10+$M$94+IF($C$77="x",2)-IF($C$78="x",4)-IF($I$78="x",1)-IF($I$77="x",2)-IF($I$90="x",2)+IF($I$83="x",2)-IF($C$76="x",4)-$C$112+IF(H706="x",1)+I706+$M$77+IF(H708="x",1)+IF(J708="x",1)+IF($M$76="x",2)+J706+IF($M$85="x",1)+IF($M$113="x",1)+IF($M$120="x",2)+IF($M$119="x",2)+IF($M$105="x",1)+IF($M$110="x",1)+IF($M$111="x",2)+IF($M$112="x",4)+IF($M$108="x",1)-IF($M$109="x",1)-IF($M$99="x",1)+IF($M$90="x",1)
&amp;"/"&amp;SUM($C$3,$I$3)+IF(H710="x",1)-4+$I$16-$B$10+$M$94+IF($C$77="x",2)-IF($C$78="x",4)-IF($I$78="x",1)-IF($I$77="x",2)-IF($I$90="x",2)+IF($I$83="x",2)-IF($C$76="x",4)-$C$112+IF(H706="x",1)+I706+$M$77+IF(H708="x",1)+IF(J708="x",1)+IF($M$76="x",2)+J706+IF($M$85="x",1)+IF($M$113="x",1)+IF($M$120="x",2)+IF($M$119="x",2)+IF($M$105="x",1)+IF($M$110="x",1)+IF($M$111="x",2)+IF($M$112="x",4)+IF($M$108="x",1)-IF($M$109="x",1)-IF($M$99="x",1)+IF($M$90="x",1)-5,
$I$3&lt;16,SUM($C$3,$I$3)+IF(H710="x",1)-4+$I$16-$B$10+$M$94+IF($C$77="x",2)-IF($C$78="x",4)-IF($I$78="x",1)-IF($I$77="x",2)-IF($I$90="x",2)+IF($I$83="x",2)-IF($C$76="x",4)-$C$112+IF(H706="x",1)+I706+$M$77+IF(H708="x",1)+IF(J708="x",1)+IF($M$76="x",2)+J706+IF($M$85="x",1)+IF($M$113="x",1)+IF($M$120="x",2)+IF($M$119="x",2)+IF($M$105="x",1)+IF($M$110="x",1)+IF($M$111="x",2)+IF($M$112="x",4)+IF($M$108="x",1)-IF($M$109="x",1)-IF($M$99="x",1)+IF($M$90="x",1)
&amp;"/"&amp;SUM($C$3,$I$3)+IF(H710="x",1)-4+$I$16-$B$10+$M$94+IF($C$77="x",2)-IF($C$78="x",4)-IF($I$78="x",1)-IF($I$77="x",2)-IF($I$90="x",2)+IF($I$83="x",2)-IF($C$76="x",4)-$C$112+IF(H706="x",1)+I706+$M$77+IF(H708="x",1)+IF(J708="x",1)+IF($M$76="x",2)+J706+IF($M$85="x",1)+IF($M$113="x",1)+IF($M$120="x",2)+IF($M$119="x",2)+IF($M$105="x",1)+IF($M$110="x",1)+IF($M$111="x",2)+IF($M$112="x",4)+IF($M$108="x",1)-IF($M$109="x",1)-IF($M$99="x",1)+IF($M$90="x",1)-5
&amp;"/"&amp;SUM($C$3,$I$3)+IF(H710="x",1)-4+$I$16-$B$10+$M$94+IF($C$77="x",2)-IF($C$78="x",4)-IF($I$78="x",1)-IF($I$77="x",2)-IF($I$90="x",2)+IF($I$83="x",2)-IF($C$76="x",4)-$C$112+IF(H706="x",1)+I706+$M$77+IF(H708="x",1)+IF(J708="x",1)+IF($M$76="x",2)+J706+IF($M$85="x",1)+IF($M$113="x",1)+IF($M$120="x",2)+IF($M$119="x",2)+IF($M$105="x",1)+IF($M$110="x",1)+IF($M$111="x",2)+IF($M$112="x",4)+IF($M$108="x",1)-IF($M$109="x",1)-IF($M$99="x",1)+IF($M$90="x",1)-10,
$I$3&gt;=16,SUM($C$3,$I$3)+IF(H710="x",1)-4+$I$16-$B$10+$M$94+IF($C$77="x",2)-IF($C$78="x",4)-IF($I$78="x",1)-IF($I$77="x",2)-IF($I$90="x",2)+IF($I$83="x",2)-IF($C$76="x",4)-$C$112+IF(H706="x",1)+I706+$M$77+IF(H708="x",1)+IF(J708="x",1)+IF($M$76="x",2)+J706+IF($M$85="x",1)+IF($M$113="x",1)+IF($M$120="x",2)+IF($M$119="x",2)+IF($M$105="x",1)+IF($M$110="x",1)+IF($M$111="x",2)+IF($M$112="x",4)+IF($M$108="x",1)-IF($M$109="x",1)-IF($M$99="x",1)+IF($M$90="x",1)
&amp;"/"&amp;SUM($C$3,$I$3)+IF(H710="x",1)-4+$I$16-$B$10+$M$94+IF($C$77="x",2)-IF($C$78="x",4)-IF($I$78="x",1)-IF($I$77="x",2)-IF($I$90="x",2)+IF($I$83="x",2)-IF($C$76="x",4)-$C$112+IF(H706="x",1)+I706+$M$77+IF(H708="x",1)+IF(J708="x",1)+IF($M$76="x",2)+J706+IF($M$85="x",1)+IF($M$113="x",1)+IF($M$120="x",2)+IF($M$119="x",2)+IF($M$105="x",1)+IF($M$110="x",1)+IF($M$111="x",2)+IF($M$112="x",4)+IF($M$108="x",1)-IF($M$109="x",1)-IF($M$99="x",1)+IF($M$90="x",1)-5
&amp;"/"&amp;SUM($C$3,$I$3)+IF(H710="x",1)-4+$I$16-$B$10+$M$94+IF($C$77="x",2)-IF($C$78="x",4)-IF($I$78="x",1)-IF($I$77="x",2)-IF($I$90="x",2)+IF($I$83="x",2)-IF($C$76="x",4)-$C$112+IF(H706="x",1)+I706+$M$77+IF(H708="x",1)+IF(J708="x",1)+IF($M$76="x",2)+J706+IF($M$85="x",1)+IF($M$113="x",1)+IF($M$120="x",2)+IF($M$119="x",2)+IF($M$105="x",1)+IF($M$110="x",1)+IF($M$111="x",2)+IF($M$112="x",4)+IF($M$108="x",1)-IF($M$109="x",1)-IF($M$99="x",1)+IF($M$90="x",1)-10
&amp;"/"&amp;SUM($C$3,$I$3)+IF(H710="x",1)-4+$I$16-$B$10+$M$94+IF($C$77="x",2)-IF($C$78="x",4)-IF($I$78="x",1)-IF($I$77="x",2)-IF($I$90="x",2)+IF($I$83="x",2)-IF($C$76="x",4)-$C$112+IF(H706="x",1)+I706+$M$77+IF(H708="x",1)+IF(J708="x",1)+IF($M$76="x",2)+J706+IF($M$85="x",1)+IF($M$113="x",1)+IF($M$120="x",2)+IF($M$119="x",2)+IF($M$105="x",1)+IF($M$110="x",1)+IF($M$111="x",2)+IF($M$112="x",4)+IF($M$108="x",1)-IF($M$109="x",1)-IF($M$99="x",1)+IF($M$90="x",1)-15)</f>
        <v>-4</v>
      </c>
      <c r="C708" s="82"/>
      <c r="D708" s="121"/>
      <c r="E708" s="82"/>
      <c r="F708" s="82"/>
      <c r="G708" s="82"/>
      <c r="H708" s="28"/>
      <c r="I708" s="28"/>
      <c r="J708" s="28"/>
      <c r="K708" s="28"/>
      <c r="AB708" s="59"/>
      <c r="AC708" s="51"/>
      <c r="AD708" s="49"/>
      <c r="AE708" s="51"/>
      <c r="AF708" s="49"/>
      <c r="AG708" s="49"/>
      <c r="AH708" s="49"/>
      <c r="AI708" s="40"/>
      <c r="AJ708" s="40"/>
      <c r="AK708" s="40"/>
      <c r="AL708" s="40"/>
    </row>
    <row r="709" spans="1:38" x14ac:dyDescent="0.2">
      <c r="A709" s="127">
        <f>A706*4</f>
        <v>320</v>
      </c>
      <c r="B709" s="123">
        <f>_xlfn.IFS($I$85="x","PAINISSA",
I710="x",SUM($C$3,$I$3)+IF(H710="x",1)+$I$16-$B$10+$M$94+IF($C$77="x",2)-IF($C$78="x",4)-IF($I$78="x",1)-IF($I$77="x",2)-IF($I$90="x",2)+IF($I$83="x",2)-IF($C$76="x",4)-$C$112+IF(H706="x",1)+I706+$M$77+IF(H708="x",1)+IF(J708="x",1)+IF($M$76="x",2)+J706+IF($M$85="x",1)+IF($M$113="x",1)+IF($M$120="x",2)+IF($M$119="x",2)+IF($M$105="x",1)+IF($M$110="x",1)+IF($M$111="x",2)+IF($M$112="x",4)+IF($M$108="x",1)-IF($M$109="x",1)-IF($M$99="x",1)+IF($M$90="x",1)-2-6,
J710="x",SUM($C$3,$I$3)+IF(H710="x",1)+$I$16-$B$10+$M$94+IF($C$77="x",2)-IF($C$78="x",4)-IF($I$78="x",1)-IF($I$77="x",2)-IF($I$90="x",2)+IF($I$83="x",2)-IF($C$76="x",4)-$C$112+IF(H706="x",1)+I706+$M$77+IF(H708="x",1)+IF(J708="x",1)+IF($M$76="x",2)+J706+IF($M$85="x",1)+IF($M$113="x",1)+IF($M$120="x",2)+IF($M$119="x",2)+IF($M$105="x",1)+IF($M$110="x",1)+IF($M$111="x",2)+IF($M$112="x",4)+IF($M$108="x",1)-IF($M$109="x",1)-IF($M$99="x",1)+IF($M$90="x",1)-IF($C$97="x",4,6)-6
&amp;"/"&amp;SUM($C$3,$I$3)+IF(H710="x",1)+$I$16-$B$10+$M$94+IF($C$77="x",2)-IF($C$78="x",4)-IF($I$78="x",1)-IF($I$77="x",2)-IF($I$90="x",2)+IF($I$83="x",2)-IF($C$76="x",4)-$C$112+IF(H706="x",1)+I706+$M$77+IF(H708="x",1)+IF(J708="x",1)+IF($M$76="x",2)+J706+IF($M$85="x",1)+IF($M$113="x",1)+IF($M$120="x",2)+IF($M$119="x",2)+IF($M$105="x",1)+IF($M$110="x",1)+IF($M$111="x",2)+IF($M$112="x",4)+IF($M$108="x",1)-IF($M$109="x",1)-IF($M$99="x",1)+IF($M$90="x",1)-IF($C$97="x",4,10)-6,
$C$105&lt;&gt;"x",SUM($C$3,$I$3)+IF(H710="x",1)-6+$I$16-$B$10+$M$94+IF($C$77="x",2)-IF($C$78="x",4)-IF($I$78="x",1)-IF($I$77="x",2)-IF($I$90="x",2)+IF($I$83="x",2)-IF($C$76="x",4)-$C$112+IF(H706="x",1)+I706+$M$77+IF(H708="x",1)+IF(J708="x",1)+IF($M$76="x",2)+J706+IF($M$85="x",1)+IF($M$113="x",1)+IF($M$120="x",2)+IF($M$119="x",2)+IF($M$105="x",1)+IF($M$110="x",1)+IF($M$111="x",2)+IF($M$112="x",4)+IF($M$108="x",1)-IF($M$109="x",1)-IF($M$99="x",1)+IF($M$90="x",1),
$I$3&lt;6,SUM($C$3,$I$3)+IF(H710="x",1)-6+$I$16-$B$10+$M$94+IF($C$77="x",2)-IF($C$78="x",4)-IF($I$78="x",1)-IF($I$77="x",2)-IF($I$90="x",2)+IF($I$83="x",2)-IF($C$76="x",4)-$C$112+IF(H706="x",1)+I706+$M$77+IF(H708="x",1)+IF(J708="x",1)+IF($M$76="x",2)+J706+IF($M$85="x",1)+IF($M$113="x",1)+IF($M$120="x",2)+IF($M$119="x",2)+IF($M$105="x",1)+IF($M$110="x",1)+IF($M$111="x",2)+IF($M$112="x",4)+IF($M$108="x",1)-IF($M$109="x",1)-IF($M$99="x",1)+IF($M$90="x",1),
$I$3&lt;11,SUM($C$3,$I$3)+IF(H710="x",1)-6+$I$16-$B$10+$M$94+IF($C$77="x",2)-IF($C$78="x",4)-IF($I$78="x",1)-IF($I$77="x",2)-IF($I$90="x",2)+IF($I$83="x",2)-IF($C$76="x",4)-$C$112+IF(H706="x",1)+I706+$M$77+IF(H708="x",1)+IF(J708="x",1)+IF($M$76="x",2)+J706+IF($M$85="x",1)+IF($M$113="x",1)+IF($M$120="x",2)+IF($M$119="x",2)+IF($M$105="x",1)+IF($M$110="x",1)+IF($M$111="x",2)+IF($M$112="x",4)+IF($M$108="x",1)-IF($M$109="x",1)-IF($M$99="x",1)+IF($M$90="x",1)
&amp;"/"&amp;SUM($C$3,$I$3)+IF(H710="x",1)-6+$I$16-$B$10+$M$94+IF($C$77="x",2)-IF($C$78="x",4)-IF($I$78="x",1)-IF($I$77="x",2)-IF($I$90="x",2)+IF($I$83="x",2)-IF($C$76="x",4)-$C$112+IF(H706="x",1)+I706+$M$77+IF(H708="x",1)+IF(J708="x",1)+IF($M$76="x",2)+J706+IF($M$85="x",1)+IF($M$113="x",1)+IF($M$120="x",2)+IF($M$119="x",2)+IF($M$105="x",1)+IF($M$110="x",1)+IF($M$111="x",2)+IF($M$112="x",4)+IF($M$108="x",1)-IF($M$109="x",1)-IF($M$99="x",1)+IF($M$90="x",1)-5,
$I$3&lt;16,SUM($C$3,$I$3)+IF(H710="x",1)-6+$I$16-$B$10+$M$94+IF($C$77="x",2)-IF($C$78="x",4)-IF($I$78="x",1)-IF($I$77="x",2)-IF($I$90="x",2)+IF($I$83="x",2)-IF($C$76="x",4)-$C$112+IF(H706="x",1)+I706+$M$77+IF(H708="x",1)+IF(J708="x",1)+IF($M$76="x",2)+J706+IF($M$85="x",1)+IF($M$113="x",1)+IF($M$120="x",2)+IF($M$119="x",2)+IF($M$105="x",1)+IF($M$110="x",1)+IF($M$111="x",2)+IF($M$112="x",4)+IF($M$108="x",1)-IF($M$109="x",1)-IF($M$99="x",1)+IF($M$90="x",1)
&amp;"/"&amp;SUM($C$3,$I$3)+IF(H710="x",1)-6+$I$16-$B$10+$M$94+IF($C$77="x",2)-IF($C$78="x",4)-IF($I$78="x",1)-IF($I$77="x",2)-IF($I$90="x",2)+IF($I$83="x",2)-IF($C$76="x",4)-$C$112+IF(H706="x",1)+I706+$M$77+IF(H708="x",1)+IF(J708="x",1)+IF($M$76="x",2)+J706+IF($M$85="x",1)+IF($M$113="x",1)+IF($M$120="x",2)+IF($M$119="x",2)+IF($M$105="x",1)+IF($M$110="x",1)+IF($M$111="x",2)+IF($M$112="x",4)+IF($M$108="x",1)-IF($M$109="x",1)-IF($M$99="x",1)+IF($M$90="x",1)-5
&amp;"/"&amp;SUM($C$3,$I$3)+IF(H710="x",1)-6+$I$16-$B$10+$M$94+IF($C$77="x",2)-IF($C$78="x",4)-IF($I$78="x",1)-IF($I$77="x",2)-IF($I$90="x",2)+IF($I$83="x",2)-IF($C$76="x",4)-$C$112+IF(H706="x",1)+I706+$M$77+IF(H708="x",1)+IF(J708="x",1)+IF($M$76="x",2)+J706+IF($M$85="x",1)+IF($M$113="x",1)+IF($M$120="x",2)+IF($M$119="x",2)+IF($M$105="x",1)+IF($M$110="x",1)+IF($M$111="x",2)+IF($M$112="x",4)+IF($M$108="x",1)-IF($M$109="x",1)-IF($M$99="x",1)+IF($M$90="x",1)-10,
$I$3&gt;=16,SUM($C$3,$I$3)+IF(H710="x",1)-6+$I$16-$B$10+$M$94+IF($C$77="x",2)-IF($C$78="x",4)-IF($I$78="x",1)-IF($I$77="x",2)-IF($I$90="x",2)+IF($I$83="x",2)-IF($C$76="x",4)-$C$112+IF(H706="x",1)+I706+$M$77+IF(H708="x",1)+IF(J708="x",1)+IF($M$76="x",2)+J706+IF($M$85="x",1)+IF($M$113="x",1)+IF($M$120="x",2)+IF($M$119="x",2)+IF($M$105="x",1)+IF($M$110="x",1)+IF($M$111="x",2)+IF($M$112="x",4)+IF($M$108="x",1)-IF($M$109="x",1)-IF($M$99="x",1)+IF($M$90="x",1)
&amp;"/"&amp;SUM($C$3,$I$3)+IF(H710="x",1)-6+$I$16-$B$10+$M$94+IF($C$77="x",2)-IF($C$78="x",4)-IF($I$78="x",1)-IF($I$77="x",2)-IF($I$90="x",2)+IF($I$83="x",2)-IF($C$76="x",4)-$C$112+IF(H706="x",1)+I706+$M$77+IF(H708="x",1)+IF(J708="x",1)+IF($M$76="x",2)+J706+IF($M$85="x",1)+IF($M$113="x",1)+IF($M$120="x",2)+IF($M$119="x",2)+IF($M$105="x",1)+IF($M$110="x",1)+IF($M$111="x",2)+IF($M$112="x",4)+IF($M$108="x",1)-IF($M$109="x",1)-IF($M$99="x",1)+IF($M$90="x",1)-5
&amp;"/"&amp;SUM($C$3,$I$3)+IF(H710="x",1)-6+$I$16-$B$10+$M$94+IF($C$77="x",2)-IF($C$78="x",4)-IF($I$78="x",1)-IF($I$77="x",2)-IF($I$90="x",2)+IF($I$83="x",2)-IF($C$76="x",4)-$C$112+IF(H706="x",1)+I706+$M$77+IF(H708="x",1)+IF(J708="x",1)+IF($M$76="x",2)+J706+IF($M$85="x",1)+IF($M$113="x",1)+IF($M$120="x",2)+IF($M$119="x",2)+IF($M$105="x",1)+IF($M$110="x",1)+IF($M$111="x",2)+IF($M$112="x",4)+IF($M$108="x",1)-IF($M$109="x",1)-IF($M$99="x",1)+IF($M$90="x",1)-10
&amp;"/"&amp;SUM($C$3,$I$3)+IF(H710="x",1)-6+$I$16-$B$10+$M$94+IF($C$77="x",2)-IF($C$78="x",4)-IF($I$78="x",1)-IF($I$77="x",2)-IF($I$90="x",2)+IF($I$83="x",2)-IF($C$76="x",4)-$C$112+IF(H706="x",1)+I706+$M$77+IF(H708="x",1)+IF(J708="x",1)+IF($M$76="x",2)+J706+IF($M$85="x",1)+IF($M$113="x",1)+IF($M$120="x",2)+IF($M$119="x",2)+IF($M$105="x",1)+IF($M$110="x",1)+IF($M$111="x",2)+IF($M$112="x",4)+IF($M$108="x",1)-IF($M$109="x",1)-IF($M$99="x",1)+IF($M$90="x",1)-15)</f>
        <v>-6</v>
      </c>
      <c r="C709" s="82"/>
      <c r="D709" s="121"/>
      <c r="E709" s="82"/>
      <c r="F709" s="82"/>
      <c r="G709" s="82"/>
      <c r="H709" s="14" t="s">
        <v>182</v>
      </c>
      <c r="I709" s="11" t="s">
        <v>246</v>
      </c>
      <c r="J709" s="11" t="s">
        <v>247</v>
      </c>
      <c r="AB709" s="62"/>
      <c r="AC709" s="53"/>
      <c r="AD709" s="49"/>
      <c r="AE709" s="51"/>
      <c r="AF709" s="49"/>
      <c r="AG709" s="49"/>
      <c r="AH709" s="49"/>
      <c r="AI709" s="48"/>
      <c r="AJ709" s="48"/>
      <c r="AK709" s="48"/>
      <c r="AL709" s="48"/>
    </row>
    <row r="710" spans="1:38" x14ac:dyDescent="0.2">
      <c r="A710" s="126">
        <f>A706*5</f>
        <v>400</v>
      </c>
      <c r="B710" s="121">
        <f>_xlfn.IFS($I$85="x","PAINISSA",
I710="x",SUM($C$3,$I$3)+IF(H710="x",1)+$I$16-$B$10+$M$94+IF($C$77="x",2)-IF($C$78="x",4)-IF($I$78="x",1)-IF($I$77="x",2)-IF($I$90="x",2)+IF($I$83="x",2)-IF($C$76="x",4)-$C$112+IF(H706="x",1)+I706+$M$77+IF(H708="x",1)+IF(J708="x",1)+IF($M$76="x",2)+J706+IF($M$85="x",1)+IF($M$113="x",1)+IF($M$120="x",2)+IF($M$119="x",2)+IF($M$105="x",1)+IF($M$110="x",1)+IF($M$111="x",2)+IF($M$112="x",4)+IF($M$108="x",1)-IF($M$109="x",1)-IF($M$99="x",1)+IF($M$90="x",1)-2-8,
J710="x",SUM($C$3,$I$3)+IF(H710="x",1)+$I$16-$B$10+$M$94+IF($C$77="x",2)-IF($C$78="x",4)-IF($I$78="x",1)-IF($I$77="x",2)-IF($I$90="x",2)+IF($I$83="x",2)-IF($C$76="x",4)-$C$112+IF(H706="x",1)+I706+$M$77+IF(H708="x",1)+IF(J708="x",1)+IF($M$76="x",2)+J706+IF($M$85="x",1)+IF($M$113="x",1)+IF($M$120="x",2)+IF($M$119="x",2)+IF($M$105="x",1)+IF($M$110="x",1)+IF($M$111="x",2)+IF($M$112="x",4)+IF($M$108="x",1)-IF($M$109="x",1)-IF($M$99="x",1)+IF($M$90="x",1)-IF($C$97="x",4,6)-8
&amp;"/"&amp;SUM($C$3,$I$3)+IF(H710="x",1)+$I$16-$B$10+$M$94+IF($C$77="x",2)-IF($C$78="x",4)-IF($I$78="x",1)-IF($I$77="x",2)-IF($I$90="x",2)+IF($I$83="x",2)-IF($C$76="x",4)-$C$112+IF(H706="x",1)+I706+$M$77+IF(H708="x",1)+IF(J708="x",1)+IF($M$76="x",2)+J706+IF($M$85="x",1)+IF($M$113="x",1)+IF($M$120="x",2)+IF($M$119="x",2)+IF($M$105="x",1)+IF($M$110="x",1)+IF($M$111="x",2)+IF($M$112="x",4)+IF($M$108="x",1)-IF($M$109="x",1)-IF($M$99="x",1)+IF($M$90="x",1)-IF($C$97="x",4,10)-8,
$C$105&lt;&gt;"x",SUM($C$3,$I$3)+IF(H710="x",1)-8+$I$16-$B$10+$M$94+IF($C$77="x",2)-IF($C$78="x",4)-IF($I$78="x",1)-IF($I$77="x",2)-IF($I$90="x",2)+IF($I$83="x",2)-IF($C$76="x",4)-$C$112+IF(H706="x",1)+I706+$M$77+IF(H708="x",1)+IF(J708="x",1)+IF($M$76="x",2)+J706+IF($M$85="x",1)+IF($M$113="x",1)+IF($M$120="x",2)+IF($M$119="x",2)+IF($M$105="x",1)+IF($M$110="x",1)+IF($M$111="x",2)+IF($M$112="x",4)+IF($M$108="x",1)-IF($M$109="x",1)-IF($M$99="x",1)+IF($M$90="x",1),
$I$3&lt;6,SUM($C$3,$I$3)+IF(H710="x",1)-8+$I$16-$B$10+$M$94+IF($C$77="x",2)-IF($C$78="x",4)-IF($I$78="x",1)-IF($I$77="x",2)-IF($I$90="x",2)+IF($I$83="x",2)-IF($C$76="x",4)-$C$112+IF(H706="x",1)+I706+$M$77+IF(H708="x",1)+IF(J708="x",1)+IF($M$76="x",2)+J706+IF($M$85="x",1)+IF($M$113="x",1)+IF($M$120="x",2)+IF($M$119="x",2)+IF($M$105="x",1)+IF($M$110="x",1)+IF($M$111="x",2)+IF($M$112="x",4)+IF($M$108="x",1)-IF($M$109="x",1)-IF($M$99="x",1)+IF($M$90="x",1),
$I$3&lt;11,SUM($C$3,$I$3)+IF(H710="x",1)-8+$I$16-$B$10+$M$94+IF($C$77="x",2)-IF($C$78="x",4)-IF($I$78="x",1)-IF($I$77="x",2)-IF($I$90="x",2)+IF($I$83="x",2)-IF($C$76="x",4)-$C$112+IF(H706="x",1)+I706+$M$77+IF(H708="x",1)+IF(J708="x",1)+IF($M$76="x",2)+J706+IF($M$85="x",1)+IF($M$113="x",1)+IF($M$120="x",2)+IF($M$119="x",2)+IF($M$105="x",1)+IF($M$110="x",1)+IF($M$111="x",2)+IF($M$112="x",4)+IF($M$108="x",1)-IF($M$109="x",1)-IF($M$99="x",1)+IF($M$90="x",1)
&amp;"/"&amp;SUM($C$3,$I$3)+IF(H710="x",1)-8+$I$16-$B$10+$M$94+IF($C$77="x",2)-IF($C$78="x",4)-IF($I$78="x",1)-IF($I$77="x",2)-IF($I$90="x",2)+IF($I$83="x",2)-IF($C$76="x",4)-$C$112+IF(H706="x",1)+I706+$M$77+IF(H708="x",1)+IF(J708="x",1)+IF($M$76="x",2)+J706+IF($M$85="x",1)+IF($M$113="x",1)+IF($M$120="x",2)+IF($M$119="x",2)+IF($M$105="x",1)+IF($M$110="x",1)+IF($M$111="x",2)+IF($M$112="x",4)+IF($M$108="x",1)-IF($M$109="x",1)-IF($M$99="x",1)+IF($M$90="x",1)-5,
$I$3&lt;16,SUM($C$3,$I$3)+IF(H710="x",1)-8+$I$16-$B$10+$M$94+IF($C$77="x",2)-IF($C$78="x",4)-IF($I$78="x",1)-IF($I$77="x",2)-IF($I$90="x",2)+IF($I$83="x",2)-IF($C$76="x",4)-$C$112+IF(H706="x",1)+I706+$M$77+IF(H708="x",1)+IF(J708="x",1)+IF($M$76="x",2)+J706+IF($M$85="x",1)+IF($M$113="x",1)+IF($M$120="x",2)+IF($M$119="x",2)+IF($M$105="x",1)+IF($M$110="x",1)+IF($M$111="x",2)+IF($M$112="x",4)+IF($M$108="x",1)-IF($M$109="x",1)-IF($M$99="x",1)+IF($M$90="x",1)
&amp;"/"&amp;SUM($C$3,$I$3)+IF(H710="x",1)-8+$I$16-$B$10+$M$94+IF($C$77="x",2)-IF($C$78="x",4)-IF($I$78="x",1)-IF($I$77="x",2)-IF($I$90="x",2)+IF($I$83="x",2)-IF($C$76="x",4)-$C$112+IF(H706="x",1)+I706+$M$77+IF(H708="x",1)+IF(J708="x",1)+IF($M$76="x",2)+J706+IF($M$85="x",1)+IF($M$113="x",1)+IF($M$120="x",2)+IF($M$119="x",2)+IF($M$105="x",1)+IF($M$110="x",1)+IF($M$111="x",2)+IF($M$112="x",4)+IF($M$108="x",1)-IF($M$109="x",1)-IF($M$99="x",1)+IF($M$90="x",1)-5
&amp;"/"&amp;SUM($C$3,$I$3)+IF(H710="x",1)-8+$I$16-$B$10+$M$94+IF($C$77="x",2)-IF($C$78="x",4)-IF($I$78="x",1)-IF($I$77="x",2)-IF($I$90="x",2)+IF($I$83="x",2)-IF($C$76="x",4)-$C$112+IF(H706="x",1)+I706+$M$77+IF(H708="x",1)+IF(J708="x",1)+IF($M$76="x",2)+J706+IF($M$85="x",1)+IF($M$113="x",1)+IF($M$120="x",2)+IF($M$119="x",2)+IF($M$105="x",1)+IF($M$110="x",1)+IF($M$111="x",2)+IF($M$112="x",4)+IF($M$108="x",1)-IF($M$109="x",1)-IF($M$99="x",1)+IF($M$90="x",1)-10,
$I$3&gt;=16,SUM($C$3,$I$3)+IF(H710="x",1)-8+$I$16-$B$10+$M$94+IF($C$77="x",2)-IF($C$78="x",4)-IF($I$78="x",1)-IF($I$77="x",2)-IF($I$90="x",2)+IF($I$83="x",2)-IF($C$76="x",4)-$C$112+IF(H706="x",1)+I706+$M$77+IF(H708="x",1)+IF(J708="x",1)+IF($M$76="x",2)+J706+IF($M$85="x",1)+IF($M$113="x",1)+IF($M$120="x",2)+IF($M$119="x",2)+IF($M$105="x",1)+IF($M$110="x",1)+IF($M$111="x",2)+IF($M$112="x",4)+IF($M$108="x",1)-IF($M$109="x",1)-IF($M$99="x",1)+IF($M$90="x",1)
&amp;"/"&amp;SUM($C$3,$I$3)+IF(H710="x",1)-8+$I$16-$B$10+$M$94+IF($C$77="x",2)-IF($C$78="x",4)-IF($I$78="x",1)-IF($I$77="x",2)-IF($I$90="x",2)+IF($I$83="x",2)-IF($C$76="x",4)-$C$112+IF(H706="x",1)+I706+$M$77+IF(H708="x",1)+IF(J708="x",1)+IF($M$76="x",2)+J706+IF($M$85="x",1)+IF($M$113="x",1)+IF($M$120="x",2)+IF($M$119="x",2)+IF($M$105="x",1)+IF($M$110="x",1)+IF($M$111="x",2)+IF($M$112="x",4)+IF($M$108="x",1)-IF($M$109="x",1)-IF($M$99="x",1)+IF($M$90="x",1)-5
&amp;"/"&amp;SUM($C$3,$I$3)+IF(H710="x",1)-8+$I$16-$B$10+$M$94+IF($C$77="x",2)-IF($C$78="x",4)-IF($I$78="x",1)-IF($I$77="x",2)-IF($I$90="x",2)+IF($I$83="x",2)-IF($C$76="x",4)-$C$112+IF(H706="x",1)+I706+$M$77+IF(H708="x",1)+IF(J708="x",1)+IF($M$76="x",2)+J706+IF($M$85="x",1)+IF($M$113="x",1)+IF($M$120="x",2)+IF($M$119="x",2)+IF($M$105="x",1)+IF($M$110="x",1)+IF($M$111="x",2)+IF($M$112="x",4)+IF($M$108="x",1)-IF($M$109="x",1)-IF($M$99="x",1)+IF($M$90="x",1)-10
&amp;"/"&amp;SUM($C$3,$I$3)+IF(H710="x",1)-8+$I$16-$B$10+$M$94+IF($C$77="x",2)-IF($C$78="x",4)-IF($I$78="x",1)-IF($I$77="x",2)-IF($I$90="x",2)+IF($I$83="x",2)-IF($C$76="x",4)-$C$112+IF(H706="x",1)+I706+$M$77+IF(H708="x",1)+IF(J708="x",1)+IF($M$76="x",2)+J706+IF($M$85="x",1)+IF($M$113="x",1)+IF($M$120="x",2)+IF($M$119="x",2)+IF($M$105="x",1)+IF($M$110="x",1)+IF($M$111="x",2)+IF($M$112="x",4)+IF($M$108="x",1)-IF($M$109="x",1)-IF($M$99="x",1)+IF($M$90="x",1)-15)</f>
        <v>-8</v>
      </c>
      <c r="C710" s="82"/>
      <c r="D710" s="121"/>
      <c r="E710" s="82"/>
      <c r="F710" s="82"/>
      <c r="G710" s="82"/>
      <c r="H710" s="28"/>
      <c r="I710" s="28"/>
      <c r="J710" s="28"/>
      <c r="K710" s="25"/>
      <c r="AB710" s="59"/>
      <c r="AC710" s="51"/>
      <c r="AD710" s="49"/>
      <c r="AE710" s="51"/>
      <c r="AF710" s="49"/>
      <c r="AG710" s="49"/>
      <c r="AH710" s="49"/>
      <c r="AI710" s="40"/>
      <c r="AJ710" s="40"/>
      <c r="AK710" s="40"/>
      <c r="AL710" s="40"/>
    </row>
    <row r="711" spans="1:38" x14ac:dyDescent="0.2">
      <c r="A711" s="127">
        <f>A706*6</f>
        <v>480</v>
      </c>
      <c r="B711" s="123">
        <f>_xlfn.IFS($I$85="x","PAINISSA",
I710="x",SUM($C$3,$I$3)+IF(H710="x",1)+$I$16-$B$10+$M$94+IF($C$77="x",2)-IF($C$78="x",4)-IF($I$78="x",1)-IF($I$77="x",2)-IF($I$90="x",2)+IF($I$83="x",2)-IF($C$76="x",4)-$C$112+IF(H706="x",1)+I706+$M$77+IF(H708="x",1)+IF(J708="x",1)+IF($M$76="x",2)+J706+IF($M$85="x",1)+IF($M$113="x",1)+IF($M$120="x",2)+IF($M$119="x",2)+IF($M$105="x",1)+IF($M$110="x",1)+IF($M$111="x",2)+IF($M$112="x",4)+IF($M$108="x",1)-IF($M$109="x",1)-IF($M$99="x",1)+IF($M$90="x",1)-2-10,
J710="x",SUM($C$3,$I$3)+IF(H710="x",1)+$I$16-$B$10+$M$94+IF($C$77="x",2)-IF($C$78="x",4)-IF($I$78="x",1)-IF($I$77="x",2)-IF($I$90="x",2)+IF($I$83="x",2)-IF($C$76="x",4)-$C$112+IF(H706="x",1)+I706+$M$77+IF(H708="x",1)+IF(J708="x",1)+IF($M$76="x",2)+J706+IF($M$85="x",1)+IF($M$113="x",1)+IF($M$120="x",2)+IF($M$119="x",2)+IF($M$105="x",1)+IF($M$110="x",1)+IF($M$111="x",2)+IF($M$112="x",4)+IF($M$108="x",1)-IF($M$109="x",1)-IF($M$99="x",1)+IF($M$90="x",1)-IF($C$97="x",2,4)-12
&amp;"/"&amp;SUM($C$3,$I$3)+IF(H710="x",1)+$I$16-$B$10+$M$94+IF($C$77="x",2)-IF($C$78="x",4)-IF($I$78="x",1)-IF($I$77="x",2)-IF($I$90="x",2)+IF($I$83="x",2)-IF($C$76="x",4)-$C$112+IF(H706="x",1)+I706+$M$77+IF(H708="x",1)+IF(J708="x",1)+IF($M$76="x",2)+J706+IF($M$85="x",1)+IF($M$113="x",1)+IF($M$120="x",2)+IF($M$119="x",2)+IF($M$105="x",1)+IF($M$110="x",1)+IF($M$111="x",2)+IF($M$112="x",4)+IF($M$108="x",1)-IF($M$109="x",1)-IF($M$99="x",1)+IF($M$90="x",1)-IF($C$97="x",2,8)-12,
$C$105&lt;&gt;"x",SUM($C$3,$I$3)+IF(H710="x",1)-10+$I$16-$B$10+$M$94+IF($C$77="x",2)-IF($C$78="x",4)-IF($I$78="x",1)-IF($I$77="x",2)-IF($I$90="x",2)+IF($I$83="x",2)-IF($C$76="x",4)-$C$112+IF(H706="x",1)+I706+$M$77+IF(H708="x",1)+IF(J708="x",1)+IF($M$76="x",2)+J706+IF($M$85="x",1)+IF($M$113="x",1)+IF($M$120="x",2)+IF($M$119="x",2)+IF($M$105="x",1)+IF($M$110="x",1)+IF($M$111="x",2)+IF($M$112="x",4)+IF($M$108="x",1)-IF($M$109="x",1)-IF($M$99="x",1)+IF($M$90="x",1),
$I$3&lt;6,SUM($C$3,$I$3)+IF(H710="x",1)-10+$I$16-$B$10+$M$94+IF($C$77="x",2)-IF($C$78="x",4)-IF($I$78="x",1)-IF($I$77="x",2)-IF($I$90="x",2)+IF($I$83="x",2)-IF($C$76="x",4)-$C$112+IF(H706="x",1)+I706+$M$77+IF(H708="x",1)+IF(J708="x",1)+IF($M$76="x",2)+J706+IF($M$85="x",1)+IF($M$113="x",1)+IF($M$120="x",2)+IF($M$119="x",2)+IF($M$105="x",1)+IF($M$110="x",1)+IF($M$111="x",2)+IF($M$112="x",4)+IF($M$108="x",1)-IF($M$109="x",1)-IF($M$99="x",1)+IF($M$90="x",1),
$I$3&lt;11,SUM($C$3,$I$3)+IF(H710="x",1)-10+$I$16-$B$10+$M$94+IF($C$77="x",2)-IF($C$78="x",4)-IF($I$78="x",1)-IF($I$77="x",2)-IF($I$90="x",2)+IF($I$83="x",2)-IF($C$76="x",4)-$C$112+IF(H706="x",1)+I706+$M$77+IF(H708="x",1)+IF(J708="x",1)+IF($M$76="x",2)+J706+IF($M$85="x",1)+IF($M$113="x",1)+IF($M$120="x",2)+IF($M$119="x",2)+IF($M$105="x",1)+IF($M$110="x",1)+IF($M$111="x",2)+IF($M$112="x",4)+IF($M$108="x",1)-IF($M$109="x",1)-IF($M$99="x",1)+IF($M$90="x",1)
&amp;"/"&amp;SUM($C$3,$I$3)+IF(H710="x",1)-10+$I$16-$B$10+$M$94+IF($C$77="x",2)-IF($C$78="x",4)-IF($I$78="x",1)-IF($I$77="x",2)-IF($I$90="x",2)+IF($I$83="x",2)-IF($C$76="x",4)-$C$112+IF(H706="x",1)+I706+$M$77+IF(H708="x",1)+IF(J708="x",1)+IF($M$76="x",2)+J706+IF($M$85="x",1)+IF($M$113="x",1)+IF($M$120="x",2)+IF($M$119="x",2)+IF($M$105="x",1)+IF($M$110="x",1)+IF($M$111="x",2)+IF($M$112="x",4)+IF($M$108="x",1)-IF($M$109="x",1)-IF($M$99="x",1)+IF($M$90="x",1)-5,
$I$3&lt;16,SUM($C$3,$I$3)+IF(H710="x",1)-10+$I$16-$B$10+$M$94+IF($C$77="x",2)-IF($C$78="x",4)-IF($I$78="x",1)-IF($I$77="x",2)-IF($I$90="x",2)+IF($I$83="x",2)-IF($C$76="x",4)-$C$112+IF(H706="x",1)+I706+$M$77+IF(H708="x",1)+IF(J708="x",1)+IF($M$76="x",2)+J706+IF($M$85="x",1)+IF($M$113="x",1)+IF($M$120="x",2)+IF($M$119="x",2)+IF($M$105="x",1)+IF($M$110="x",1)+IF($M$111="x",2)+IF($M$112="x",4)+IF($M$108="x",1)-IF($M$109="x",1)-IF($M$99="x",1)+IF($M$90="x",1)
&amp;"/"&amp;SUM($C$3,$I$3)+IF(H710="x",1)-10+$I$16-$B$10+$M$94+IF($C$77="x",2)-IF($C$78="x",4)-IF($I$78="x",1)-IF($I$77="x",2)-IF($I$90="x",2)+IF($I$83="x",2)-IF($C$76="x",4)-$C$112+IF(H706="x",1)+I706+$M$77+IF(H708="x",1)+IF(J708="x",1)+IF($M$76="x",2)+J706+IF($M$85="x",1)+IF($M$113="x",1)+IF($M$120="x",2)+IF($M$119="x",2)+IF($M$105="x",1)+IF($M$110="x",1)+IF($M$111="x",2)+IF($M$112="x",4)+IF($M$108="x",1)-IF($M$109="x",1)-IF($M$99="x",1)+IF($M$90="x",1)-5
&amp;"/"&amp;SUM($C$3,$I$3)+IF(H710="x",1)-10+$I$16-$B$10+$M$94+IF($C$77="x",2)-IF($C$78="x",4)-IF($I$78="x",1)-IF($I$77="x",2)-IF($I$90="x",2)+IF($I$83="x",2)-IF($C$76="x",4)-$C$112+IF(H706="x",1)+I706+$M$77+IF(H708="x",1)+IF(J708="x",1)+IF($M$76="x",2)+J706+IF($M$85="x",1)+IF($M$113="x",1)+IF($M$120="x",2)+IF($M$119="x",2)+IF($M$105="x",1)+IF($M$110="x",1)+IF($M$111="x",2)+IF($M$112="x",4)+IF($M$108="x",1)-IF($M$109="x",1)-IF($M$99="x",1)+IF($M$90="x",1)-10,
$I$3&gt;=16,SUM($C$3,$I$3)+IF(H710="x",1)-10+$I$16-$B$10+$M$94+IF($C$77="x",2)-IF($C$78="x",4)-IF($I$78="x",1)-IF($I$77="x",2)-IF($I$90="x",2)+IF($I$83="x",2)-IF($C$76="x",4)-$C$112+IF(H706="x",1)+I706+$M$77+IF(H708="x",1)+IF(J708="x",1)+IF($M$76="x",2)+J706+IF($M$85="x",1)+IF($M$113="x",1)+IF($M$120="x",2)+IF($M$119="x",2)+IF($M$105="x",1)+IF($M$110="x",1)+IF($M$111="x",2)+IF($M$112="x",4)+IF($M$108="x",1)-IF($M$109="x",1)-IF($M$99="x",1)+IF($M$90="x",1)
&amp;"/"&amp;SUM($C$3,$I$3)+IF(H710="x",1)-10+$I$16-$B$10+$M$94+IF($C$77="x",2)-IF($C$78="x",4)-IF($I$78="x",1)-IF($I$77="x",2)-IF($I$90="x",2)+IF($I$83="x",2)-IF($C$76="x",4)-$C$112+IF(H706="x",1)+I706+$M$77+IF(H708="x",1)+IF(J708="x",1)+IF($M$76="x",2)+J706+IF($M$85="x",1)+IF($M$113="x",1)+IF($M$120="x",2)+IF($M$119="x",2)+IF($M$105="x",1)+IF($M$110="x",1)+IF($M$111="x",2)+IF($M$112="x",4)+IF($M$108="x",1)-IF($M$109="x",1)-IF($M$99="x",1)+IF($M$90="x",1)-5
&amp;"/"&amp;SUM($C$3,$I$3)+IF(H710="x",1)-10+$I$16-$B$10+$M$94+IF($C$77="x",2)-IF($C$78="x",4)-IF($I$78="x",1)-IF($I$77="x",2)-IF($I$90="x",2)+IF($I$83="x",2)-IF($C$76="x",4)-$C$112+IF(H706="x",1)+I706+$M$77+IF(H708="x",1)+IF(J708="x",1)+IF($M$76="x",2)+J706+IF($M$85="x",1)+IF($M$113="x",1)+IF($M$120="x",2)+IF($M$119="x",2)+IF($M$105="x",1)+IF($M$110="x",1)+IF($M$111="x",2)+IF($M$112="x",4)+IF($M$108="x",1)-IF($M$109="x",1)-IF($M$99="x",1)+IF($M$90="x",1)-10
&amp;"/"&amp;SUM($C$3,$I$3)+IF(H710="x",1)-10+$I$16-$B$10+$M$94+IF($C$77="x",2)-IF($C$78="x",4)-IF($I$78="x",1)-IF($I$77="x",2)-IF($I$90="x",2)+IF($I$83="x",2)-IF($C$76="x",4)-$C$112+IF(H706="x",1)+I706+$M$77+IF(H708="x",1)+IF(J708="x",1)+IF($M$76="x",2)+J706+IF($M$85="x",1)+IF($M$113="x",1)+IF($M$120="x",2)+IF($M$119="x",2)+IF($M$105="x",1)+IF($M$110="x",1)+IF($M$111="x",2)+IF($M$112="x",4)+IF($M$108="x",1)-IF($M$109="x",1)-IF($M$99="x",1)+IF($M$90="x",1)-15)</f>
        <v>-10</v>
      </c>
      <c r="C711" s="82"/>
      <c r="D711" s="121"/>
      <c r="E711" s="82"/>
      <c r="F711" s="82"/>
      <c r="G711" s="82"/>
      <c r="H711" s="82"/>
      <c r="I711" s="25"/>
      <c r="J711" s="64"/>
      <c r="K711" s="64"/>
      <c r="AB711" s="62"/>
      <c r="AC711" s="53"/>
      <c r="AD711" s="49"/>
      <c r="AE711" s="51"/>
      <c r="AF711" s="49"/>
      <c r="AG711" s="49"/>
      <c r="AH711" s="49"/>
      <c r="AI711" s="48"/>
      <c r="AJ711" s="48"/>
      <c r="AK711" s="48"/>
    </row>
    <row r="712" spans="1:38" x14ac:dyDescent="0.2">
      <c r="A712" s="126">
        <f>A706*7</f>
        <v>560</v>
      </c>
      <c r="B712" s="121">
        <f>_xlfn.IFS($I$85="x","PAINISSA",
I710="x",SUM($C$3,$I$3)+IF(H710="x",1)+$I$16-$B$10+$M$94+IF($C$77="x",2)-IF($C$78="x",4)-IF($I$78="x",1)-IF($I$77="x",2)-IF($I$90="x",2)+IF($I$83="x",2)-IF($C$76="x",4)-$C$112+IF(H706="x",1)+I706+$M$77+IF(H708="x",1)+IF(J708="x",1)+IF($M$76="x",2)+J706+IF($M$85="x",1)+IF($M$113="x",1)+IF($M$120="x",2)+IF($M$119="x",2)+IF($M$105="x",1)+IF($M$110="x",1)+IF($M$111="x",2)+IF($M$112="x",4)+IF($M$108="x",1)-IF($M$109="x",1)-IF($M$99="x",1)+IF($M$90="x",1)-2-12,
J710="x",SUM($C$3,$I$3)+IF(H710="x",1)+$I$16-$B$10+$M$94+IF($C$77="x",2)-IF($C$78="x",4)-IF($I$78="x",1)-IF($I$77="x",2)-IF($I$90="x",2)+IF($I$83="x",2)-IF($C$76="x",4)-$C$112+IF(H706="x",1)+I706+$M$77+IF(H708="x",1)+IF(J708="x",1)+IF($M$76="x",2)+J706+IF($M$85="x",1)+IF($M$113="x",1)+IF($M$120="x",2)+IF($M$119="x",2)+IF($M$105="x",1)+IF($M$110="x",1)+IF($M$111="x",2)+IF($M$112="x",4)+IF($M$108="x",1)-IF($M$109="x",1)-IF($M$99="x",1)+IF($M$90="x",1)-IF($C$97="x",4,6)-12
&amp;"/"&amp;SUM($C$3,$I$3)+IF(H710="x",1)+$I$16-$B$10+$M$94+IF($C$77="x",2)-IF($C$78="x",4)-IF($I$78="x",1)-IF($I$77="x",2)-IF($I$90="x",2)+IF($I$83="x",2)-IF($C$76="x",4)-$C$112+IF(H706="x",1)+I706+$M$77+IF(H708="x",1)+IF(J708="x",1)+IF($M$76="x",2)+J706+IF($M$85="x",1)+IF($M$113="x",1)+IF($M$120="x",2)+IF($M$119="x",2)+IF($M$105="x",1)+IF($M$110="x",1)+IF($M$111="x",2)+IF($M$112="x",4)+IF($M$108="x",1)-IF($M$109="x",1)-IF($M$99="x",1)+IF($M$90="x",1)-IF($C$97="x",4,10)-12,
$C$105&lt;&gt;"x",SUM($C$3,$I$3)+IF(H710="x",1)-12+$I$16-$B$10+$M$94+IF($C$77="x",2)-IF($C$78="x",4)-IF($I$78="x",1)-IF($I$77="x",2)-IF($I$90="x",2)+IF($I$83="x",2)-IF($C$76="x",4)-$C$112+IF(H706="x",1)+I706+$M$77+IF(H708="x",1)+IF(J708="x",1)+IF($M$76="x",2)+J706+IF($M$85="x",1)+IF($M$113="x",1)+IF($M$120="x",2)+IF($M$119="x",2)+IF($M$105="x",1)+IF($M$110="x",1)+IF($M$111="x",2)+IF($M$112="x",4)+IF($M$108="x",1)-IF($M$109="x",1)-IF($M$99="x",1)+IF($M$90="x",1),
$I$3&lt;6,SUM($C$3,$I$3)+IF(H710="x",1)-12+$I$16-$B$10+$M$94+IF($C$77="x",2)-IF($C$78="x",4)-IF($I$78="x",1)-IF($I$77="x",2)-IF($I$90="x",2)+IF($I$83="x",2)-IF($C$76="x",4)-$C$112+IF(H706="x",1)+I706+$M$77+IF(H708="x",1)+IF(J708="x",1)+IF($M$76="x",2)+J706+IF($M$85="x",1)+IF($M$113="x",1)+IF($M$120="x",2)+IF($M$119="x",2)+IF($M$105="x",1)+IF($M$110="x",1)+IF($M$111="x",2)+IF($M$112="x",4)+IF($M$108="x",1)-IF($M$109="x",1)-IF($M$99="x",1)+IF($M$90="x",1),
$I$3&lt;11,SUM($C$3,$I$3)+IF(H710="x",1)-12+$I$16-$B$10+$M$94+IF($C$77="x",2)-IF($C$78="x",4)-IF($I$78="x",1)-IF($I$77="x",2)-IF($I$90="x",2)+IF($I$83="x",2)-IF($C$76="x",4)-$C$112+IF(H706="x",1)+I706+$M$77+IF(H708="x",1)+IF(J708="x",1)+IF($M$76="x",2)+J706+IF($M$85="x",1)+IF($M$113="x",1)+IF($M$120="x",2)+IF($M$119="x",2)+IF($M$105="x",1)+IF($M$110="x",1)+IF($M$111="x",2)+IF($M$112="x",4)+IF($M$108="x",1)-IF($M$109="x",1)-IF($M$99="x",1)+IF($M$90="x",1)
&amp;"/"&amp;SUM($C$3,$I$3)+IF(H710="x",1)-12+$I$16-$B$10+$M$94+IF($C$77="x",2)-IF($C$78="x",4)-IF($I$78="x",1)-IF($I$77="x",2)-IF($I$90="x",2)+IF($I$83="x",2)-IF($C$76="x",4)-$C$112+IF(H706="x",1)+I706+$M$77+IF(H708="x",1)+IF(J708="x",1)+IF($M$76="x",2)+J706+IF($M$85="x",1)+IF($M$113="x",1)+IF($M$120="x",2)+IF($M$119="x",2)+IF($M$105="x",1)+IF($M$110="x",1)+IF($M$111="x",2)+IF($M$112="x",4)+IF($M$108="x",1)-IF($M$109="x",1)-IF($M$99="x",1)+IF($M$90="x",1)-5,
$I$3&lt;16,SUM($C$3,$I$3)+IF(H710="x",1)-12+$I$16-$B$10+$M$94+IF($C$77="x",2)-IF($C$78="x",4)-IF($I$78="x",1)-IF($I$77="x",2)-IF($I$90="x",2)+IF($I$83="x",2)-IF($C$76="x",4)-$C$112+IF(H706="x",1)+I706+$M$77+IF(H708="x",1)+IF(J708="x",1)+IF($M$76="x",2)+J706+IF($M$85="x",1)+IF($M$113="x",1)+IF($M$120="x",2)+IF($M$119="x",2)+IF($M$105="x",1)+IF($M$110="x",1)+IF($M$111="x",2)+IF($M$112="x",4)+IF($M$108="x",1)-IF($M$109="x",1)-IF($M$99="x",1)+IF($M$90="x",1)
&amp;"/"&amp;SUM($C$3,$I$3)+IF(H710="x",1)-12+$I$16-$B$10+$M$94+IF($C$77="x",2)-IF($C$78="x",4)-IF($I$78="x",1)-IF($I$77="x",2)-IF($I$90="x",2)+IF($I$83="x",2)-IF($C$76="x",4)-$C$112+IF(H706="x",1)+I706+$M$77+IF(H708="x",1)+IF(J708="x",1)+IF($M$76="x",2)+J706+IF($M$85="x",1)+IF($M$113="x",1)+IF($M$120="x",2)+IF($M$119="x",2)+IF($M$105="x",1)+IF($M$110="x",1)+IF($M$111="x",2)+IF($M$112="x",4)+IF($M$108="x",1)-IF($M$109="x",1)-IF($M$99="x",1)+IF($M$90="x",1)-5
&amp;"/"&amp;SUM($C$3,$I$3)+IF(H710="x",1)-12+$I$16-$B$10+$M$94+IF($C$77="x",2)-IF($C$78="x",4)-IF($I$78="x",1)-IF($I$77="x",2)-IF($I$90="x",2)+IF($I$83="x",2)-IF($C$76="x",4)-$C$112+IF(H706="x",1)+I706+$M$77+IF(H708="x",1)+IF(J708="x",1)+IF($M$76="x",2)+J706+IF($M$85="x",1)+IF($M$113="x",1)+IF($M$120="x",2)+IF($M$119="x",2)+IF($M$105="x",1)+IF($M$110="x",1)+IF($M$111="x",2)+IF($M$112="x",4)+IF($M$108="x",1)-IF($M$109="x",1)-IF($M$99="x",1)+IF($M$90="x",1)-10,
$I$3&gt;=16,SUM($C$3,$I$3)+IF(H710="x",1)-12+$I$16-$B$10+$M$94+IF($C$77="x",2)-IF($C$78="x",4)-IF($I$78="x",1)-IF($I$77="x",2)-IF($I$90="x",2)+IF($I$83="x",2)-IF($C$76="x",4)-$C$112+IF(H706="x",1)+I706+$M$77+IF(H708="x",1)+IF(J708="x",1)+IF($M$76="x",2)+J706+IF($M$85="x",1)+IF($M$113="x",1)+IF($M$120="x",2)+IF($M$119="x",2)+IF($M$105="x",1)+IF($M$110="x",1)+IF($M$111="x",2)+IF($M$112="x",4)+IF($M$108="x",1)-IF($M$109="x",1)-IF($M$99="x",1)+IF($M$90="x",1)
&amp;"/"&amp;SUM($C$3,$I$3)+IF(H710="x",1)-12+$I$16-$B$10+$M$94+IF($C$77="x",2)-IF($C$78="x",4)-IF($I$78="x",1)-IF($I$77="x",2)-IF($I$90="x",2)+IF($I$83="x",2)-IF($C$76="x",4)-$C$112+IF(H706="x",1)+I706+$M$77+IF(H708="x",1)+IF(J708="x",1)+IF($M$76="x",2)+J706+IF($M$85="x",1)+IF($M$113="x",1)+IF($M$120="x",2)+IF($M$119="x",2)+IF($M$105="x",1)+IF($M$110="x",1)+IF($M$111="x",2)+IF($M$112="x",4)+IF($M$108="x",1)-IF($M$109="x",1)-IF($M$99="x",1)+IF($M$90="x",1)-5
&amp;"/"&amp;SUM($C$3,$I$3)+IF(H710="x",1)-12+$I$16-$B$10+$M$94+IF($C$77="x",2)-IF($C$78="x",4)-IF($I$78="x",1)-IF($I$77="x",2)-IF($I$90="x",2)+IF($I$83="x",2)-IF($C$76="x",4)-$C$112+IF(H706="x",1)+I706+$M$77+IF(H708="x",1)+IF(J708="x",1)+IF($M$76="x",2)+J706+IF($M$85="x",1)+IF($M$113="x",1)+IF($M$120="x",2)+IF($M$119="x",2)+IF($M$105="x",1)+IF($M$110="x",1)+IF($M$111="x",2)+IF($M$112="x",4)+IF($M$108="x",1)-IF($M$109="x",1)-IF($M$99="x",1)+IF($M$90="x",1)-10
&amp;"/"&amp;SUM($C$3,$I$3)+IF(H710="x",1)-12+$I$16-$B$10+$M$94+IF($C$77="x",2)-IF($C$78="x",4)-IF($I$78="x",1)-IF($I$77="x",2)-IF($I$90="x",2)+IF($I$83="x",2)-IF($C$76="x",4)-$C$112+IF(H706="x",1)+I706+$M$77+IF(H708="x",1)+IF(J708="x",1)+IF($M$76="x",2)+J706+IF($M$85="x",1)+IF($M$113="x",1)+IF($M$120="x",2)+IF($M$119="x",2)+IF($M$105="x",1)+IF($M$110="x",1)+IF($M$111="x",2)+IF($M$112="x",4)+IF($M$108="x",1)-IF($M$109="x",1)-IF($M$99="x",1)+IF($M$90="x",1)-15)</f>
        <v>-12</v>
      </c>
      <c r="C712" s="82"/>
      <c r="D712" s="121"/>
      <c r="E712" s="82"/>
      <c r="F712" s="82"/>
      <c r="G712" s="82"/>
      <c r="H712" s="82"/>
      <c r="J712" s="64"/>
      <c r="K712" s="64"/>
      <c r="AB712" s="59"/>
      <c r="AC712" s="51"/>
      <c r="AD712" s="49"/>
      <c r="AE712" s="51"/>
      <c r="AF712" s="49"/>
      <c r="AG712" s="49"/>
      <c r="AH712" s="49"/>
      <c r="AI712" s="40"/>
      <c r="AJ712" s="40"/>
      <c r="AK712" s="40"/>
      <c r="AL712" s="50"/>
    </row>
    <row r="713" spans="1:38" x14ac:dyDescent="0.2">
      <c r="A713" s="127">
        <f>A706*8</f>
        <v>640</v>
      </c>
      <c r="B713" s="123">
        <f>_xlfn.IFS($I$85="x","PAINISSA",
I710="x",SUM($C$3,$I$3)+IF(H710="x",1)+$I$16-$B$10+$M$94+IF($C$77="x",2)-IF($C$78="x",4)-IF($I$78="x",1)-IF($I$77="x",2)-IF($I$90="x",2)+IF($I$83="x",2)-IF($C$76="x",4)-$C$112+IF(H706="x",1)+I706+$M$77+IF(H708="x",1)+IF(J708="x",1)+IF($M$76="x",2)+J706+IF($M$85="x",1)+IF($M$113="x",1)+IF($M$120="x",2)+IF($M$119="x",2)+IF($M$105="x",1)+IF($M$110="x",1)+IF($M$111="x",2)+IF($M$112="x",4)+IF($M$108="x",1)-IF($M$109="x",1)-IF($M$99="x",1)+IF($M$90="x",1)-2-14,
J710="x",SUM($C$3,$I$3)+IF(H710="x",1)+$I$16-$B$10+$M$94+IF($C$77="x",2)-IF($C$78="x",4)-IF($I$78="x",1)-IF($I$77="x",2)-IF($I$90="x",2)+IF($I$83="x",2)-IF($C$76="x",4)-$C$112+IF(H706="x",1)+I706+$M$77+IF(H708="x",1)+IF(J708="x",1)+IF($M$76="x",2)+J706+IF($M$85="x",1)+IF($M$113="x",1)+IF($M$120="x",2)+IF($M$119="x",2)+IF($M$105="x",1)+IF($M$110="x",1)+IF($M$111="x",2)+IF($M$112="x",4)+IF($M$108="x",1)-IF($M$109="x",1)-IF($M$99="x",1)+IF($M$90="x",1)-IF($C$97="x",4,6)-14
&amp;"/"&amp;SUM($C$3,$I$3)+IF(H710="x",1)+$I$16-$B$10+$M$94+IF($C$77="x",2)-IF($C$78="x",4)-IF($I$78="x",1)-IF($I$77="x",2)-IF($I$90="x",2)+IF($I$83="x",2)-IF($C$76="x",4)-$C$112+IF(H706="x",1)+I706+$M$77+IF(H708="x",1)+IF(J708="x",1)+IF($M$76="x",2)+J706+IF($M$85="x",1)+IF($M$113="x",1)+IF($M$120="x",2)+IF($M$119="x",2)+IF($M$105="x",1)+IF($M$110="x",1)+IF($M$111="x",2)+IF($M$112="x",4)+IF($M$108="x",1)-IF($M$109="x",1)-IF($M$99="x",1)+IF($M$90="x",1)-IF($C$97="x",4,10)-14,
$C$105&lt;&gt;"x",SUM($C$3,$I$3)+IF(H710="x",1)-14+$I$16-$B$10+$M$94+IF($C$77="x",2)-IF($C$78="x",4)-IF($I$78="x",1)-IF($I$77="x",2)-IF($I$90="x",2)+IF($I$83="x",2)-IF($C$76="x",4)-$C$112+IF(H706="x",1)+I706+$M$77+IF(H708="x",1)+IF(J708="x",1)+IF($M$76="x",2)+J706+IF($M$85="x",1)+IF($M$113="x",1)+IF($M$120="x",2)+IF($M$119="x",2)+IF($M$105="x",1)+IF($M$110="x",1)+IF($M$111="x",2)+IF($M$112="x",4)+IF($M$108="x",1)-IF($M$109="x",1)-IF($M$99="x",1)+IF($M$90="x",1),
$I$3&lt;6,SUM($C$3,$I$3)+IF(H710="x",1)-14+$I$16-$B$10+$M$94+IF($C$77="x",2)-IF($C$78="x",4)-IF($I$78="x",1)-IF($I$77="x",2)-IF($I$90="x",2)+IF($I$83="x",2)-IF($C$76="x",4)-$C$112+IF(H706="x",1)+I706+$M$77+IF(H708="x",1)+IF(J708="x",1)+IF($M$76="x",2)+J706+IF($M$85="x",1)+IF($M$113="x",1)+IF($M$120="x",2)+IF($M$119="x",2)+IF($M$105="x",1)+IF($M$110="x",1)+IF($M$111="x",2)+IF($M$112="x",4)+IF($M$108="x",1)-IF($M$109="x",1)-IF($M$99="x",1)+IF($M$90="x",1),
$I$3&lt;11,SUM($C$3,$I$3)+IF(H710="x",1)-14+$I$16-$B$10+$M$94+IF($C$77="x",2)-IF($C$78="x",4)-IF($I$78="x",1)-IF($I$77="x",2)-IF($I$90="x",2)+IF($I$83="x",2)-IF($C$76="x",4)-$C$112+IF(H706="x",1)+I706+$M$77+IF(H708="x",1)+IF(J708="x",1)+IF($M$76="x",2)+J706+IF($M$85="x",1)+IF($M$113="x",1)+IF($M$120="x",2)+IF($M$119="x",2)+IF($M$105="x",1)+IF($M$110="x",1)+IF($M$111="x",2)+IF($M$112="x",4)+IF($M$108="x",1)-IF($M$109="x",1)-IF($M$99="x",1)+IF($M$90="x",1)
&amp;"/"&amp;SUM($C$3,$I$3)+IF(H710="x",1)-14+$I$16-$B$10+$M$94+IF($C$77="x",2)-IF($C$78="x",4)-IF($I$78="x",1)-IF($I$77="x",2)-IF($I$90="x",2)+IF($I$83="x",2)-IF($C$76="x",4)-$C$112+IF(H706="x",1)+I706+$M$77+IF(H708="x",1)+IF(J708="x",1)+IF($M$76="x",2)+J706+IF($M$85="x",1)+IF($M$113="x",1)+IF($M$120="x",2)+IF($M$119="x",2)+IF($M$105="x",1)+IF($M$110="x",1)+IF($M$111="x",2)+IF($M$112="x",4)+IF($M$108="x",1)-IF($M$109="x",1)-IF($M$99="x",1)+IF($M$90="x",1)-5,
$I$3&lt;16,SUM($C$3,$I$3)+IF(H710="x",1)-14+$I$16-$B$10+$M$94+IF($C$77="x",2)-IF($C$78="x",4)-IF($I$78="x",1)-IF($I$77="x",2)-IF($I$90="x",2)+IF($I$83="x",2)-IF($C$76="x",4)-$C$112+IF(H706="x",1)+I706+$M$77+IF(H708="x",1)+IF(J708="x",1)+IF($M$76="x",2)+J706+IF($M$85="x",1)+IF($M$113="x",1)+IF($M$120="x",2)+IF($M$119="x",2)+IF($M$105="x",1)+IF($M$110="x",1)+IF($M$111="x",2)+IF($M$112="x",4)+IF($M$108="x",1)-IF($M$109="x",1)-IF($M$99="x",1)+IF($M$90="x",1)
&amp;"/"&amp;SUM($C$3,$I$3)+IF(H710="x",1)-14+$I$16-$B$10+$M$94+IF($C$77="x",2)-IF($C$78="x",4)-IF($I$78="x",1)-IF($I$77="x",2)-IF($I$90="x",2)+IF($I$83="x",2)-IF($C$76="x",4)-$C$112+IF(H706="x",1)+I706+$M$77+IF(H708="x",1)+IF(J708="x",1)+IF($M$76="x",2)+J706+IF($M$85="x",1)+IF($M$113="x",1)+IF($M$120="x",2)+IF($M$119="x",2)+IF($M$105="x",1)+IF($M$110="x",1)+IF($M$111="x",2)+IF($M$112="x",4)+IF($M$108="x",1)-IF($M$109="x",1)-IF($M$99="x",1)+IF($M$90="x",1)-5
&amp;"/"&amp;SUM($C$3,$I$3)+IF(H710="x",1)-14+$I$16-$B$10+$M$94+IF($C$77="x",2)-IF($C$78="x",4)-IF($I$78="x",1)-IF($I$77="x",2)-IF($I$90="x",2)+IF($I$83="x",2)-IF($C$76="x",4)-$C$112+IF(H706="x",1)+I706+$M$77+IF(H708="x",1)+IF(J708="x",1)+IF($M$76="x",2)+J706+IF($M$85="x",1)+IF($M$113="x",1)+IF($M$120="x",2)+IF($M$119="x",2)+IF($M$105="x",1)+IF($M$110="x",1)+IF($M$111="x",2)+IF($M$112="x",4)+IF($M$108="x",1)-IF($M$109="x",1)-IF($M$99="x",1)+IF($M$90="x",1)-10,
$I$3&gt;=16,SUM($C$3,$I$3)+IF(H710="x",1)-14+$I$16-$B$10+$M$94+IF($C$77="x",2)-IF($C$78="x",4)-IF($I$78="x",1)-IF($I$77="x",2)-IF($I$90="x",2)+IF($I$83="x",2)-IF($C$76="x",4)-$C$112+IF(H706="x",1)+I706+$M$77+IF(H708="x",1)+IF(J708="x",1)+IF($M$76="x",2)+J706+IF($M$85="x",1)+IF($M$113="x",1)+IF($M$120="x",2)+IF($M$119="x",2)+IF($M$105="x",1)+IF($M$110="x",1)+IF($M$111="x",2)+IF($M$112="x",4)+IF($M$108="x",1)-IF($M$109="x",1)-IF($M$99="x",1)+IF($M$90="x",1)
&amp;"/"&amp;SUM($C$3,$I$3)+IF(H710="x",1)-14+$I$16-$B$10+$M$94+IF($C$77="x",2)-IF($C$78="x",4)-IF($I$78="x",1)-IF($I$77="x",2)-IF($I$90="x",2)+IF($I$83="x",2)-IF($C$76="x",4)-$C$112+IF(H706="x",1)+I706+$M$77+IF(H708="x",1)+IF(J708="x",1)+IF($M$76="x",2)+J706+IF($M$85="x",1)+IF($M$113="x",1)+IF($M$120="x",2)+IF($M$119="x",2)+IF($M$105="x",1)+IF($M$110="x",1)+IF($M$111="x",2)+IF($M$112="x",4)+IF($M$108="x",1)-IF($M$109="x",1)-IF($M$99="x",1)+IF($M$90="x",1)-5
&amp;"/"&amp;SUM($C$3,$I$3)+IF(H710="x",1)-14+$I$16-$B$10+$M$94+IF($C$77="x",2)-IF($C$78="x",4)-IF($I$78="x",1)-IF($I$77="x",2)-IF($I$90="x",2)+IF($I$83="x",2)-IF($C$76="x",4)-$C$112+IF(H706="x",1)+I706+$M$77+IF(H708="x",1)+IF(J708="x",1)+IF($M$76="x",2)+J706+IF($M$85="x",1)+IF($M$113="x",1)+IF($M$120="x",2)+IF($M$119="x",2)+IF($M$105="x",1)+IF($M$110="x",1)+IF($M$111="x",2)+IF($M$112="x",4)+IF($M$108="x",1)-IF($M$109="x",1)-IF($M$99="x",1)+IF($M$90="x",1)-10
&amp;"/"&amp;SUM($C$3,$I$3)+IF(H710="x",1)-14+$I$16-$B$10+$M$94+IF($C$77="x",2)-IF($C$78="x",4)-IF($I$78="x",1)-IF($I$77="x",2)-IF($I$90="x",2)+IF($I$83="x",2)-IF($C$76="x",4)-$C$112+IF(H706="x",1)+I706+$M$77+IF(H708="x",1)+IF(J708="x",1)+IF($M$76="x",2)+J706+IF($M$85="x",1)+IF($M$113="x",1)+IF($M$120="x",2)+IF($M$119="x",2)+IF($M$105="x",1)+IF($M$110="x",1)+IF($M$111="x",2)+IF($M$112="x",4)+IF($M$108="x",1)-IF($M$109="x",1)-IF($M$99="x",1)+IF($M$90="x",1)-15)</f>
        <v>-14</v>
      </c>
      <c r="C713" s="82"/>
      <c r="D713" s="121"/>
      <c r="E713" s="82"/>
      <c r="F713" s="82"/>
      <c r="G713" s="82"/>
      <c r="H713" s="82"/>
      <c r="I713" s="82"/>
      <c r="J713" s="64"/>
      <c r="K713" s="64"/>
      <c r="AB713" s="62"/>
      <c r="AC713" s="53"/>
      <c r="AD713" s="49"/>
      <c r="AE713" s="51"/>
      <c r="AF713" s="49"/>
      <c r="AG713" s="49"/>
      <c r="AH713" s="49"/>
      <c r="AI713" s="49"/>
      <c r="AJ713" s="50"/>
      <c r="AK713" s="65"/>
      <c r="AL713" s="65"/>
    </row>
    <row r="714" spans="1:38" x14ac:dyDescent="0.2">
      <c r="A714" s="126">
        <f>A706*9</f>
        <v>720</v>
      </c>
      <c r="B714" s="121">
        <f>_xlfn.IFS($I$85="x","PAINISSA",
I710="x",SUM($C$3,$I$3)+IF(H710="x",1)+$I$16-$B$10+$M$94+IF($C$77="x",2)-IF($C$78="x",4)-IF($I$78="x",1)-IF($I$77="x",2)-IF($I$90="x",2)+IF($I$83="x",2)-IF($C$76="x",4)-$C$112+IF(H706="x",1)+I706+$M$77+IF(H708="x",1)+IF(J708="x",1)+IF($M$76="x",2)+J706+IF($M$85="x",1)+IF($M$113="x",1)+IF($M$120="x",2)+IF($M$119="x",2)+IF($M$105="x",1)+IF($M$110="x",1)+IF($M$111="x",2)+IF($M$112="x",4)+IF($M$108="x",1)-IF($M$109="x",1)-IF($M$99="x",1)+IF($M$90="x",1)-2-16,
J710="x",SUM($C$3,$I$3)+IF(H710="x",1)+$I$16-$B$10+$M$94+IF($C$77="x",2)-IF($C$78="x",4)-IF($I$78="x",1)-IF($I$77="x",2)-IF($I$90="x",2)+IF($I$83="x",2)-IF($C$76="x",4)-$C$112+IF(H706="x",1)+I706+$M$77+IF(H708="x",1)+IF(J708="x",1)+IF($M$76="x",2)+J706+IF($M$85="x",1)+IF($M$113="x",1)+IF($M$120="x",2)+IF($M$119="x",2)+IF($M$105="x",1)+IF($M$110="x",1)+IF($M$111="x",2)+IF($M$112="x",4)+IF($M$108="x",1)-IF($M$109="x",1)-IF($M$99="x",1)+IF($M$90="x",1)-IF($C$97="x",4,6)-16
&amp;"/"&amp;SUM($C$3,$I$3)+IF(H710="x",1)+$I$16-$B$10+$M$94+IF($C$77="x",2)-IF($C$78="x",4)-IF($I$78="x",1)-IF($I$77="x",2)-IF($I$90="x",2)+IF($I$83="x",2)-IF($C$76="x",4)-$C$112+IF(H706="x",1)+I706+$M$77+IF(H708="x",1)+IF(J708="x",1)+IF($M$76="x",2)+J706+IF($M$85="x",1)+IF($M$113="x",1)+IF($M$120="x",2)+IF($M$119="x",2)+IF($M$105="x",1)+IF($M$110="x",1)+IF($M$111="x",2)+IF($M$112="x",4)+IF($M$108="x",1)-IF($M$109="x",1)-IF($M$99="x",1)+IF($M$90="x",1)-IF($C$97="x",4,10)-16,
$C$105&lt;&gt;"x",SUM($C$3,$I$3)+IF(H710="x",1)-16+$I$16-$B$10+$M$94+IF($C$77="x",2)-IF($C$78="x",4)-IF($I$78="x",1)-IF($I$77="x",2)-IF($I$90="x",2)+IF($I$83="x",2)-IF($C$76="x",4)-$C$112+IF(H706="x",1)+I706+$M$77+IF(H708="x",1)+IF(J708="x",1)+IF($M$76="x",2)+J706+IF($M$85="x",1)+IF($M$113="x",1)+IF($M$120="x",2)+IF($M$119="x",2)+IF($M$105="x",1)+IF($M$110="x",1)+IF($M$111="x",2)+IF($M$112="x",4)+IF($M$108="x",1)-IF($M$109="x",1)-IF($M$99="x",1)+IF($M$90="x",1),
$I$3&lt;6,SUM($C$3,$I$3)+IF(H710="x",1)-16+$I$16-$B$10+$M$94+IF($C$77="x",2)-IF($C$78="x",4)-IF($I$78="x",1)-IF($I$77="x",2)-IF($I$90="x",2)+IF($I$83="x",2)-IF($C$76="x",4)-$C$112+IF(H706="x",1)+I706+$M$77+IF(H708="x",1)+IF(J708="x",1)+IF($M$76="x",2)+J706+IF($M$85="x",1)+IF($M$113="x",1)+IF($M$120="x",2)+IF($M$119="x",2)+IF($M$105="x",1)+IF($M$110="x",1)+IF($M$111="x",2)+IF($M$112="x",4)+IF($M$108="x",1)-IF($M$109="x",1)-IF($M$99="x",1)+IF($M$90="x",1),
$I$3&lt;11,SUM($C$3,$I$3)+IF(H710="x",1)-16+$I$16-$B$10+$M$94+IF($C$77="x",2)-IF($C$78="x",4)-IF($I$78="x",1)-IF($I$77="x",2)-IF($I$90="x",2)+IF($I$83="x",2)-IF($C$76="x",4)-$C$112+IF(H706="x",1)+I706+$M$77+IF(H708="x",1)+IF(J708="x",1)+IF($M$76="x",2)+J706+IF($M$85="x",1)+IF($M$113="x",1)+IF($M$120="x",2)+IF($M$119="x",2)+IF($M$105="x",1)+IF($M$110="x",1)+IF($M$111="x",2)+IF($M$112="x",4)+IF($M$108="x",1)-IF($M$109="x",1)-IF($M$99="x",1)+IF($M$90="x",1)
&amp;"/"&amp;SUM($C$3,$I$3)+IF(H710="x",1)-16+$I$16-$B$10+$M$94+IF($C$77="x",2)-IF($C$78="x",4)-IF($I$78="x",1)-IF($I$77="x",2)-IF($I$90="x",2)+IF($I$83="x",2)-IF($C$76="x",4)-$C$112+IF(H706="x",1)+I706+$M$77+IF(H708="x",1)+IF(J708="x",1)+IF($M$76="x",2)+J706+IF($M$85="x",1)+IF($M$113="x",1)+IF($M$120="x",2)+IF($M$119="x",2)+IF($M$105="x",1)+IF($M$110="x",1)+IF($M$111="x",2)+IF($M$112="x",4)+IF($M$108="x",1)-IF($M$109="x",1)-IF($M$99="x",1)+IF($M$90="x",1)-5,
$I$3&lt;16,SUM($C$3,$I$3)+IF(H710="x",1)-16+$I$16-$B$10+$M$94+IF($C$77="x",2)-IF($C$78="x",4)-IF($I$78="x",1)-IF($I$77="x",2)-IF($I$90="x",2)+IF($I$83="x",2)-IF($C$76="x",4)-$C$112+IF(H706="x",1)+I706+$M$77+IF(H708="x",1)+IF(J708="x",1)+IF($M$76="x",2)+J706+IF($M$85="x",1)+IF($M$113="x",1)+IF($M$120="x",2)+IF($M$119="x",2)+IF($M$105="x",1)+IF($M$110="x",1)+IF($M$111="x",2)+IF($M$112="x",4)+IF($M$108="x",1)-IF($M$109="x",1)-IF($M$99="x",1)+IF($M$90="x",1)
&amp;"/"&amp;SUM($C$3,$I$3)+IF(H710="x",1)-16+$I$16-$B$10+$M$94+IF($C$77="x",2)-IF($C$78="x",4)-IF($I$78="x",1)-IF($I$77="x",2)-IF($I$90="x",2)+IF($I$83="x",2)-IF($C$76="x",4)-$C$112+IF(H706="x",1)+I706+$M$77+IF(H708="x",1)+IF(J708="x",1)+IF($M$76="x",2)+J706+IF($M$85="x",1)+IF($M$113="x",1)+IF($M$120="x",2)+IF($M$119="x",2)+IF($M$105="x",1)+IF($M$110="x",1)+IF($M$111="x",2)+IF($M$112="x",4)+IF($M$108="x",1)-IF($M$109="x",1)-IF($M$99="x",1)+IF($M$90="x",1)-5
&amp;"/"&amp;SUM($C$3,$I$3)+IF(H710="x",1)-16+$I$16-$B$10+$M$94+IF($C$77="x",2)-IF($C$78="x",4)-IF($I$78="x",1)-IF($I$77="x",2)-IF($I$90="x",2)+IF($I$83="x",2)-IF($C$76="x",4)-$C$112+IF(H706="x",1)+I706+$M$77+IF(H708="x",1)+IF(J708="x",1)+IF($M$76="x",2)+J706+IF($M$85="x",1)+IF($M$113="x",1)+IF($M$120="x",2)+IF($M$119="x",2)+IF($M$105="x",1)+IF($M$110="x",1)+IF($M$111="x",2)+IF($M$112="x",4)+IF($M$108="x",1)-IF($M$109="x",1)-IF($M$99="x",1)+IF($M$90="x",1)-10,
$I$3&gt;=16,SUM($C$3,$I$3)+IF(H710="x",1)-16+$I$16-$B$10+$M$94+IF($C$77="x",2)-IF($C$78="x",4)-IF($I$78="x",1)-IF($I$77="x",2)-IF($I$90="x",2)+IF($I$83="x",2)-IF($C$76="x",4)-$C$112+IF(H706="x",1)+I706+$M$77+IF(H708="x",1)+IF(J708="x",1)+IF($M$76="x",2)+J706+IF($M$85="x",1)+IF($M$113="x",1)+IF($M$120="x",2)+IF($M$119="x",2)+IF($M$105="x",1)+IF($M$110="x",1)+IF($M$111="x",2)+IF($M$112="x",4)+IF($M$108="x",1)-IF($M$109="x",1)-IF($M$99="x",1)+IF($M$90="x",1)
&amp;"/"&amp;SUM($C$3,$I$3)+IF(H710="x",1)-16+$I$16-$B$10+$M$94+IF($C$77="x",2)-IF($C$78="x",4)-IF($I$78="x",1)-IF($I$77="x",2)-IF($I$90="x",2)+IF($I$83="x",2)-IF($C$76="x",4)-$C$112+IF(H706="x",1)+I706+$M$77+IF(H708="x",1)+IF(J708="x",1)+IF($M$76="x",2)+J706+IF($M$85="x",1)+IF($M$113="x",1)+IF($M$120="x",2)+IF($M$119="x",2)+IF($M$105="x",1)+IF($M$110="x",1)+IF($M$111="x",2)+IF($M$112="x",4)+IF($M$108="x",1)-IF($M$109="x",1)-IF($M$99="x",1)+IF($M$90="x",1)-5
&amp;"/"&amp;SUM($C$3,$I$3)+IF(H710="x",1)-16+$I$16-$B$10+$M$94+IF($C$77="x",2)-IF($C$78="x",4)-IF($I$78="x",1)-IF($I$77="x",2)-IF($I$90="x",2)+IF($I$83="x",2)-IF($C$76="x",4)-$C$112+IF(H706="x",1)+I706+$M$77+IF(H708="x",1)+IF(J708="x",1)+IF($M$76="x",2)+J706+IF($M$85="x",1)+IF($M$113="x",1)+IF($M$120="x",2)+IF($M$119="x",2)+IF($M$105="x",1)+IF($M$110="x",1)+IF($M$111="x",2)+IF($M$112="x",4)+IF($M$108="x",1)-IF($M$109="x",1)-IF($M$99="x",1)+IF($M$90="x",1)-10
&amp;"/"&amp;SUM($C$3,$I$3)+IF(H710="x",1)-16+$I$16-$B$10+$M$94+IF($C$77="x",2)-IF($C$78="x",4)-IF($I$78="x",1)-IF($I$77="x",2)-IF($I$90="x",2)+IF($I$83="x",2)-IF($C$76="x",4)-$C$112+IF(H706="x",1)+I706+$M$77+IF(H708="x",1)+IF(J708="x",1)+IF($M$76="x",2)+J706+IF($M$85="x",1)+IF($M$113="x",1)+IF($M$120="x",2)+IF($M$119="x",2)+IF($M$105="x",1)+IF($M$110="x",1)+IF($M$111="x",2)+IF($M$112="x",4)+IF($M$108="x",1)-IF($M$109="x",1)-IF($M$99="x",1)+IF($M$90="x",1)-15)</f>
        <v>-16</v>
      </c>
      <c r="C714" s="82"/>
      <c r="D714" s="121"/>
      <c r="E714" s="82"/>
      <c r="F714" s="82"/>
      <c r="G714" s="82"/>
      <c r="H714" s="82"/>
      <c r="I714" s="155"/>
      <c r="AB714" s="59"/>
      <c r="AC714" s="51"/>
      <c r="AD714" s="49"/>
      <c r="AE714" s="51"/>
      <c r="AF714" s="49"/>
      <c r="AG714" s="49"/>
      <c r="AH714" s="49"/>
      <c r="AI714" s="49"/>
      <c r="AJ714" s="40"/>
      <c r="AK714" s="65"/>
      <c r="AL714" s="65"/>
    </row>
    <row r="715" spans="1:38" x14ac:dyDescent="0.2">
      <c r="A715" s="127">
        <f>A706*10</f>
        <v>800</v>
      </c>
      <c r="B715" s="123">
        <f>_xlfn.IFS($I$85="x","PAINISSA",
I710="x",SUM($C$3,$I$3)+IF(H710="x",1)+$I$16-$B$10+$M$94+IF($C$77="x",2)-IF($C$78="x",4)-IF($I$78="x",1)-IF($I$77="x",2)-IF($I$90="x",2)+IF($I$83="x",2)-IF($C$76="x",4)-$C$112+IF(H706="x",1)+I706+$M$77+IF(H708="x",1)+IF(J708="x",1)+IF($M$76="x",2)+J706+IF($M$85="x",1)+IF($M$113="x",1)+IF($M$120="x",2)+IF($M$119="x",2)+IF($M$105="x",1)+IF($M$110="x",1)+IF($M$111="x",2)+IF($M$112="x",4)+IF($M$108="x",1)-IF($M$109="x",1)-IF($M$99="x",1)+IF($M$90="x",1)-2-18,
J710="x",SUM($C$3,$I$3)+IF(H710="x",1)+$I$16-$B$10+$M$94+IF($C$77="x",2)-IF($C$78="x",4)-IF($I$78="x",1)-IF($I$77="x",2)-IF($I$90="x",2)+IF($I$83="x",2)-IF($C$76="x",4)-$C$112+IF(H706="x",1)+I706+$M$77+IF(H708="x",1)+IF(J708="x",1)+IF($M$76="x",2)+J706+IF($M$85="x",1)+IF($M$113="x",1)+IF($M$120="x",2)+IF($M$119="x",2)+IF($M$105="x",1)+IF($M$110="x",1)+IF($M$111="x",2)+IF($M$112="x",4)+IF($M$108="x",1)-IF($M$109="x",1)-IF($M$99="x",1)+IF($M$90="x",1)-IF($C$97="x",4,6)-18
&amp;"/"&amp;SUM($C$3,$I$3)+IF(H710="x",1)+$I$16-$B$10+$M$94+IF($C$77="x",2)-IF($C$78="x",4)-IF($I$78="x",1)-IF($I$77="x",2)-IF($I$90="x",2)+IF($I$83="x",2)-IF($C$76="x",4)-$C$112+IF(H706="x",1)+I706+$M$77+IF(H708="x",1)+IF(J708="x",1)+IF($M$76="x",2)+J706+IF($M$85="x",1)+IF($M$113="x",1)+IF($M$120="x",2)+IF($M$119="x",2)+IF($M$105="x",1)+IF($M$110="x",1)+IF($M$111="x",2)+IF($M$112="x",4)+IF($M$108="x",1)-IF($M$109="x",1)-IF($M$99="x",1)+IF($M$90="x",1)-IF($C$97="x",4,10)-18,
$C$105&lt;&gt;"x",SUM($C$3,$I$3)+IF(H710="x",1)-18+$I$16-$B$10+$M$94+IF($C$77="x",2)-IF($C$78="x",4)-IF($I$78="x",1)-IF($I$77="x",2)-IF($I$90="x",2)+IF($I$83="x",2)-IF($C$76="x",4)-$C$112+IF(H706="x",1)+I706+$M$77+IF(H708="x",1)+IF(J708="x",1)+IF($M$76="x",2)+J706+IF($M$85="x",1)+IF($M$113="x",1)+IF($M$120="x",2)+IF($M$119="x",2)+IF($M$105="x",1)+IF($M$110="x",1)+IF($M$111="x",2)+IF($M$112="x",4)+IF($M$108="x",1)-IF($M$109="x",1)-IF($M$99="x",1)+IF($M$90="x",1),
$I$3&lt;6,SUM($C$3,$I$3)+IF(H710="x",1)-18+$I$16-$B$10+$M$94+IF($C$77="x",2)-IF($C$78="x",4)-IF($I$78="x",1)-IF($I$77="x",2)-IF($I$90="x",2)+IF($I$83="x",2)-IF($C$76="x",4)-$C$112+IF(H706="x",1)+I706+$M$77+IF(H708="x",1)+IF(J708="x",1)+IF($M$76="x",2)+J706+IF($M$85="x",1)+IF($M$113="x",1)+IF($M$120="x",2)+IF($M$119="x",2)+IF($M$105="x",1)+IF($M$110="x",1)+IF($M$111="x",2)+IF($M$112="x",4)+IF($M$108="x",1)-IF($M$109="x",1)-IF($M$99="x",1)+IF($M$90="x",1),
$I$3&lt;11,SUM($C$3,$I$3)+IF(H710="x",1)-18+$I$16-$B$10+$M$94+IF($C$77="x",2)-IF($C$78="x",4)-IF($I$78="x",1)-IF($I$77="x",2)-IF($I$90="x",2)+IF($I$83="x",2)-IF($C$76="x",4)-$C$112+IF(H706="x",1)+I706+$M$77+IF(H708="x",1)+IF(J708="x",1)+IF($M$76="x",2)+J706+IF($M$85="x",1)+IF($M$113="x",1)+IF($M$120="x",2)+IF($M$119="x",2)+IF($M$105="x",1)+IF($M$110="x",1)+IF($M$111="x",2)+IF($M$112="x",4)+IF($M$108="x",1)-IF($M$109="x",1)-IF($M$99="x",1)+IF($M$90="x",1)
&amp;"/"&amp;SUM($C$3,$I$3)+IF(H710="x",1)-18+$I$16-$B$10+$M$94+IF($C$77="x",2)-IF($C$78="x",4)-IF($I$78="x",1)-IF($I$77="x",2)-IF($I$90="x",2)+IF($I$83="x",2)-IF($C$76="x",4)-$C$112+IF(H706="x",1)+I706+$M$77+IF(H708="x",1)+IF(J708="x",1)+IF($M$76="x",2)+J706+IF($M$85="x",1)+IF($M$113="x",1)+IF($M$120="x",2)+IF($M$119="x",2)+IF($M$105="x",1)+IF($M$110="x",1)+IF($M$111="x",2)+IF($M$112="x",4)+IF($M$108="x",1)-IF($M$109="x",1)-IF($M$99="x",1)+IF($M$90="x",1)-5,
$I$3&lt;16,SUM($C$3,$I$3)+IF(H710="x",1)-18+$I$16-$B$10+$M$94+IF($C$77="x",2)-IF($C$78="x",4)-IF($I$78="x",1)-IF($I$77="x",2)-IF($I$90="x",2)+IF($I$83="x",2)-IF($C$76="x",4)-$C$112+IF(H706="x",1)+I706+$M$77+IF(H708="x",1)+IF(J708="x",1)+IF($M$76="x",2)+J706+IF($M$85="x",1)+IF($M$113="x",1)+IF($M$120="x",2)+IF($M$119="x",2)+IF($M$105="x",1)+IF($M$110="x",1)+IF($M$111="x",2)+IF($M$112="x",4)+IF($M$108="x",1)-IF($M$109="x",1)-IF($M$99="x",1)+IF($M$90="x",1)
&amp;"/"&amp;SUM($C$3,$I$3)+IF(H710="x",1)-18+$I$16-$B$10+$M$94+IF($C$77="x",2)-IF($C$78="x",4)-IF($I$78="x",1)-IF($I$77="x",2)-IF($I$90="x",2)+IF($I$83="x",2)-IF($C$76="x",4)-$C$112+IF(H706="x",1)+I706+$M$77+IF(H708="x",1)+IF(J708="x",1)+IF($M$76="x",2)+J706+IF($M$85="x",1)+IF($M$113="x",1)+IF($M$120="x",2)+IF($M$119="x",2)+IF($M$105="x",1)+IF($M$110="x",1)+IF($M$111="x",2)+IF($M$112="x",4)+IF($M$108="x",1)-IF($M$109="x",1)-IF($M$99="x",1)+IF($M$90="x",1)-5
&amp;"/"&amp;SUM($C$3,$I$3)+IF(H710="x",1)-18+$I$16-$B$10+$M$94+IF($C$77="x",2)-IF($C$78="x",4)-IF($I$78="x",1)-IF($I$77="x",2)-IF($I$90="x",2)+IF($I$83="x",2)-IF($C$76="x",4)-$C$112+IF(H706="x",1)+I706+$M$77+IF(H708="x",1)+IF(J708="x",1)+IF($M$76="x",2)+J706+IF($M$85="x",1)+IF($M$113="x",1)+IF($M$120="x",2)+IF($M$119="x",2)+IF($M$105="x",1)+IF($M$110="x",1)+IF($M$111="x",2)+IF($M$112="x",4)+IF($M$108="x",1)-IF($M$109="x",1)-IF($M$99="x",1)+IF($M$90="x",1)-10,
$I$3&gt;=16,SUM($C$3,$I$3)+IF(H710="x",1)-18+$I$16-$B$10+$M$94+IF($C$77="x",2)-IF($C$78="x",4)-IF($I$78="x",1)-IF($I$77="x",2)-IF($I$90="x",2)+IF($I$83="x",2)-IF($C$76="x",4)-$C$112+IF(H706="x",1)+I706+$M$77+IF(H708="x",1)+IF(J708="x",1)+IF($M$76="x",2)+J706+IF($M$85="x",1)+IF($M$113="x",1)+IF($M$120="x",2)+IF($M$119="x",2)+IF($M$105="x",1)+IF($M$110="x",1)+IF($M$111="x",2)+IF($M$112="x",4)+IF($M$108="x",1)-IF($M$109="x",1)-IF($M$99="x",1)+IF($M$90="x",1)
&amp;"/"&amp;SUM($C$3,$I$3)+IF(H710="x",1)-18+$I$16-$B$10+$M$94+IF($C$77="x",2)-IF($C$78="x",4)-IF($I$78="x",1)-IF($I$77="x",2)-IF($I$90="x",2)+IF($I$83="x",2)-IF($C$76="x",4)-$C$112+IF(H706="x",1)+I706+$M$77+IF(H708="x",1)+IF(J708="x",1)+IF($M$76="x",2)+J706+IF($M$85="x",1)+IF($M$113="x",1)+IF($M$120="x",2)+IF($M$119="x",2)+IF($M$105="x",1)+IF($M$110="x",1)+IF($M$111="x",2)+IF($M$112="x",4)+IF($M$108="x",1)-IF($M$109="x",1)-IF($M$99="x",1)+IF($M$90="x",1)-5
&amp;"/"&amp;SUM($C$3,$I$3)+IF(H710="x",1)-18+$I$16-$B$10+$M$94+IF($C$77="x",2)-IF($C$78="x",4)-IF($I$78="x",1)-IF($I$77="x",2)-IF($I$90="x",2)+IF($I$83="x",2)-IF($C$76="x",4)-$C$112+IF(H706="x",1)+I706+$M$77+IF(H708="x",1)+IF(J708="x",1)+IF($M$76="x",2)+J706+IF($M$85="x",1)+IF($M$113="x",1)+IF($M$120="x",2)+IF($M$119="x",2)+IF($M$105="x",1)+IF($M$110="x",1)+IF($M$111="x",2)+IF($M$112="x",4)+IF($M$108="x",1)-IF($M$109="x",1)-IF($M$99="x",1)+IF($M$90="x",1)-10
&amp;"/"&amp;SUM($C$3,$I$3)+IF(H710="x",1)-18+$I$16-$B$10+$M$94+IF($C$77="x",2)-IF($C$78="x",4)-IF($I$78="x",1)-IF($I$77="x",2)-IF($I$90="x",2)+IF($I$83="x",2)-IF($C$76="x",4)-$C$112+IF(H706="x",1)+I706+$M$77+IF(H708="x",1)+IF(J708="x",1)+IF($M$76="x",2)+J706+IF($M$85="x",1)+IF($M$113="x",1)+IF($M$120="x",2)+IF($M$119="x",2)+IF($M$105="x",1)+IF($M$110="x",1)+IF($M$111="x",2)+IF($M$112="x",4)+IF($M$108="x",1)-IF($M$109="x",1)-IF($M$99="x",1)+IF($M$90="x",1)-15)</f>
        <v>-18</v>
      </c>
      <c r="C715" s="82"/>
      <c r="D715" s="121"/>
      <c r="E715" s="82"/>
      <c r="I715" s="155"/>
      <c r="J715" s="25"/>
      <c r="K715" s="25"/>
      <c r="AB715" s="62"/>
      <c r="AC715" s="53"/>
      <c r="AD715" s="49"/>
      <c r="AE715" s="51"/>
      <c r="AF715" s="49"/>
      <c r="AG715" s="49"/>
      <c r="AH715" s="49"/>
      <c r="AI715" s="49"/>
      <c r="AJ715" s="49"/>
      <c r="AK715" s="65"/>
      <c r="AL715" s="65"/>
    </row>
    <row r="716" spans="1:38" x14ac:dyDescent="0.2">
      <c r="A716" s="59"/>
      <c r="B716" s="45"/>
      <c r="C716" s="45"/>
      <c r="D716" s="45"/>
      <c r="E716" s="45"/>
      <c r="F716" s="45"/>
      <c r="G716" s="45"/>
      <c r="H716" s="45"/>
      <c r="I716" s="45"/>
      <c r="J716" s="45"/>
      <c r="K716" s="45"/>
      <c r="AB716" s="59"/>
      <c r="AC716" s="51"/>
      <c r="AD716" s="49"/>
      <c r="AE716" s="51"/>
      <c r="AF716" s="49"/>
      <c r="AG716" s="49"/>
      <c r="AH716" s="49"/>
      <c r="AI716" s="49"/>
      <c r="AJ716" s="67"/>
    </row>
    <row r="717" spans="1:38" x14ac:dyDescent="0.2">
      <c r="A717" s="46"/>
      <c r="B717" s="48"/>
      <c r="C717" s="48"/>
      <c r="D717" s="48"/>
      <c r="E717" s="48"/>
      <c r="F717" s="48"/>
      <c r="G717" s="48"/>
      <c r="H717" s="48"/>
      <c r="I717" s="48"/>
      <c r="J717" s="48"/>
      <c r="K717" s="48"/>
      <c r="AB717" s="62"/>
      <c r="AC717" s="53"/>
      <c r="AD717" s="49"/>
      <c r="AE717" s="51"/>
      <c r="AF717" s="49"/>
      <c r="AG717" s="40"/>
      <c r="AH717" s="40"/>
      <c r="AI717" s="40"/>
      <c r="AJ717" s="67"/>
      <c r="AK717" s="50"/>
      <c r="AL717" s="50"/>
    </row>
    <row r="718" spans="1:38" x14ac:dyDescent="0.2">
      <c r="A718" s="34" t="s">
        <v>278</v>
      </c>
      <c r="B718" s="11" t="s">
        <v>1</v>
      </c>
      <c r="C718" s="11" t="s">
        <v>2</v>
      </c>
      <c r="D718" s="11" t="s">
        <v>3</v>
      </c>
      <c r="E718" s="11" t="s">
        <v>229</v>
      </c>
      <c r="F718" s="11" t="s">
        <v>3</v>
      </c>
      <c r="G718" s="11" t="s">
        <v>45</v>
      </c>
      <c r="H718" s="14" t="s">
        <v>179</v>
      </c>
      <c r="I718" s="11" t="s">
        <v>242</v>
      </c>
      <c r="J718" s="11" t="s">
        <v>224</v>
      </c>
      <c r="K718" s="11" t="s">
        <v>225</v>
      </c>
    </row>
    <row r="719" spans="1:38" x14ac:dyDescent="0.2">
      <c r="A719" s="126">
        <f>IF($C$98="x",50*1.5,50)</f>
        <v>50</v>
      </c>
      <c r="B719" s="121">
        <f>IF($I$85="x","PAINISSA",
SUM($C$3,$I$3)+IF(H723="x",1)+$I$16-$B$10+$M$94+IF($C$77="x",2)-IF($C$78="x",4)-IF($I$78="x",1)-IF($I$77="x",2)-IF($I$90="x",2)+IF($I$83="x",2)-IF($C$76="x",4)-$C$112+IF(H719="x",1)+I719+$M$77+IF(H721="x",1)+IF(J721="x",1)+IF($M$76="x",2)+J719+IF($M$85="x",1)+IF($M$113="x",1)+IF($M$120="x",2)+IF($M$119="x",2)+IF($M$105="x",1)+IF($M$110="x",1)+IF($M$111="x",2)+IF($M$112="x",4)+IF($M$108="x",1)-IF($M$109="x",1)-IF($M$99="x",1)+IF($M$90="x",1))</f>
        <v>0</v>
      </c>
      <c r="C719" s="49" t="str">
        <f>_xlfn.IFS($C$7="Minimaalinen","–",$C$7="Taskukokoinen","1",$C$7="Hyvin pieni","1n2",$C$7="Pieni","1n3",$C$7="Keskikokoinen","1n4",$C$7="Iso","1n6",$C$7="Valtava","1n8",$C$7="Suunnaton","2n6",$C$7="Giganttinen","3n6")</f>
        <v>1n4</v>
      </c>
      <c r="D719" s="51">
        <f>IF(H723="x",1)+IF(I721="x",2)+I719+K719+IF(K721="x",2)+IF($I$2&lt;0,$I$2)+$I$2</f>
        <v>0</v>
      </c>
      <c r="E719" s="49" t="str">
        <f>_xlfn.IFS($C$7="Minimaalinen","–",$C$7="Taskukokoinen","2",$C$7="Hyvin pieni","2n2",$C$7="Pieni","2n3",$C$7="Keskikokoinen","2n4",$C$7="Iso","2n6",$C$7="Valtava","2n8",$C$7="Suunnaton","4n6",$C$7="Giganttinen","6n6")</f>
        <v>2n4</v>
      </c>
      <c r="F719" s="82">
        <f>SUM(D719*2)</f>
        <v>0</v>
      </c>
      <c r="G719" s="82" t="str">
        <f>(IF($I$89="x","50 %","")&amp;(IF($C$81="x","20 %",""))&amp;(IF($C$82="x","50 %","")))</f>
        <v/>
      </c>
      <c r="H719" s="28"/>
      <c r="I719" s="17">
        <v>0</v>
      </c>
      <c r="J719" s="17">
        <v>0</v>
      </c>
      <c r="K719" s="17">
        <v>0</v>
      </c>
    </row>
    <row r="720" spans="1:38" x14ac:dyDescent="0.2">
      <c r="A720" s="127">
        <f>A719*2</f>
        <v>100</v>
      </c>
      <c r="B720" s="123">
        <f>IF($I$85="x","PAINISSA",
SUM($C$3,$I$3)+IF(H723="x",1)+$I$16-$B$10+$M$94+IF($C$77="x",2)-IF($C$78="x",4)-IF($I$78="x",1)-IF($I$77="x",2)-IF($I$90="x",2)+IF($I$83="x",2)-IF($C$76="x",4)-$C$112+IF(H719="x",1)+I719+$M$77+IF(H721="x",1)+IF(J721="x",1)+IF($M$76="x",2)+J719+IF($M$85="x",1)+IF($M$113="x",1)+IF($M$120="x",2)+IF($M$119="x",2)+IF($M$105="x",1)+IF($M$110="x",1)+IF($M$111="x",2)+IF($M$112="x",4)+IF($M$108="x",1)-IF($M$109="x",1)-IF($M$99="x",1)+IF($M$90="x",1)-2)</f>
        <v>-2</v>
      </c>
      <c r="C720" s="82"/>
      <c r="D720" s="121"/>
      <c r="E720" s="82"/>
      <c r="F720" s="82"/>
      <c r="G720" s="82"/>
      <c r="H720" s="14" t="s">
        <v>220</v>
      </c>
      <c r="I720" s="14" t="s">
        <v>221</v>
      </c>
      <c r="J720" s="14" t="s">
        <v>222</v>
      </c>
      <c r="K720" s="14" t="s">
        <v>223</v>
      </c>
      <c r="AB720" s="46"/>
      <c r="AC720" s="48"/>
      <c r="AD720" s="48"/>
      <c r="AE720" s="48"/>
      <c r="AF720" s="48"/>
      <c r="AG720" s="48"/>
      <c r="AH720" s="48"/>
      <c r="AI720" s="48"/>
      <c r="AJ720" s="48"/>
      <c r="AK720" s="48"/>
      <c r="AL720" s="48"/>
    </row>
    <row r="721" spans="1:38" x14ac:dyDescent="0.2">
      <c r="A721" s="126">
        <f>A719*3</f>
        <v>150</v>
      </c>
      <c r="B721" s="121">
        <f>IF($I$85="x","PAINISSA",
SUM($C$3,$I$3)+IF(H723="x",1)+$I$16-$B$10+$M$94+IF($C$77="x",2)-IF($C$78="x",4)-IF($I$78="x",1)-IF($I$77="x",2)-IF($I$90="x",2)+IF($I$83="x",2)-IF($C$76="x",4)-$C$112+IF(H719="x",1)+I719+$M$77+IF(H721="x",1)+IF(J721="x",1)+IF($M$76="x",2)+J719+IF($M$85="x",1)+IF($M$113="x",1)+IF($M$120="x",2)+IF($M$119="x",2)+IF($M$105="x",1)+IF($M$110="x",1)+IF($M$111="x",2)+IF($M$112="x",4)+IF($M$108="x",1)-IF($M$109="x",1)-IF($M$99="x",1)+IF($M$90="x",1)-4)</f>
        <v>-4</v>
      </c>
      <c r="C721" s="82"/>
      <c r="D721" s="121"/>
      <c r="E721" s="82"/>
      <c r="F721" s="82"/>
      <c r="G721" s="82"/>
      <c r="H721" s="28"/>
      <c r="I721" s="28"/>
      <c r="J721" s="28"/>
      <c r="K721" s="28"/>
      <c r="AB721" s="59"/>
      <c r="AC721" s="51"/>
      <c r="AD721" s="49"/>
      <c r="AE721" s="51"/>
      <c r="AF721" s="49"/>
      <c r="AG721" s="49"/>
      <c r="AH721" s="49"/>
      <c r="AI721" s="40"/>
      <c r="AJ721" s="40"/>
      <c r="AK721" s="40"/>
      <c r="AL721" s="40"/>
    </row>
    <row r="722" spans="1:38" x14ac:dyDescent="0.2">
      <c r="A722" s="127">
        <f>A719*4</f>
        <v>200</v>
      </c>
      <c r="B722" s="123">
        <f>IF($I$85="x","PAINISSA",
SUM($C$3,$I$3)+IF(H723="x",1)+$I$16-$B$10+$M$94+IF($C$77="x",2)-IF($C$78="x",4)-IF($I$78="x",1)-IF($I$77="x",2)-IF($I$90="x",2)+IF($I$83="x",2)-IF($C$76="x",4)-$C$112+IF(H719="x",1)+I719+$M$77+IF(H721="x",1)+IF(J721="x",1)+IF($M$76="x",2)+J719+IF($M$85="x",1)+IF($M$113="x",1)+IF($M$120="x",2)+IF($M$119="x",2)+IF($M$105="x",1)+IF($M$110="x",1)+IF($M$111="x",2)+IF($M$112="x",4)+IF($M$108="x",1)-IF($M$109="x",1)-IF($M$99="x",1)+IF($M$90="x",1)-6)</f>
        <v>-6</v>
      </c>
      <c r="C722" s="82"/>
      <c r="D722" s="121"/>
      <c r="E722" s="82"/>
      <c r="F722" s="82"/>
      <c r="G722" s="82"/>
      <c r="H722" s="14" t="s">
        <v>182</v>
      </c>
      <c r="I722" s="15"/>
      <c r="AB722" s="62"/>
      <c r="AC722" s="53"/>
      <c r="AD722" s="49"/>
      <c r="AE722" s="51"/>
      <c r="AF722" s="49"/>
      <c r="AG722" s="49"/>
      <c r="AH722" s="49"/>
      <c r="AI722" s="48"/>
      <c r="AJ722" s="48"/>
      <c r="AK722" s="48"/>
      <c r="AL722" s="48"/>
    </row>
    <row r="723" spans="1:38" x14ac:dyDescent="0.2">
      <c r="A723" s="126">
        <f>A719*5</f>
        <v>250</v>
      </c>
      <c r="B723" s="121">
        <f>IF($I$85="x","PAINISSA",
SUM($C$3,$I$3)+IF(H723="x",1)+$I$16-$B$10+$M$94+IF($C$77="x",2)-IF($C$78="x",4)-IF($I$78="x",1)-IF($I$77="x",2)-IF($I$90="x",2)+IF($I$83="x",2)-IF($C$76="x",4)-$C$112+IF(H719="x",1)+I719+$M$77+IF(H721="x",1)+IF(J721="x",1)+IF($M$76="x",2)+J719+IF($M$85="x",1)+IF($M$113="x",1)+IF($M$120="x",2)+IF($M$119="x",2)+IF($M$105="x",1)+IF($M$110="x",1)+IF($M$111="x",2)+IF($M$112="x",4)+IF($M$108="x",1)-IF($M$109="x",1)-IF($M$99="x",1)+IF($M$90="x",1)-8)</f>
        <v>-8</v>
      </c>
      <c r="C723" s="82"/>
      <c r="D723" s="121"/>
      <c r="E723" s="82"/>
      <c r="F723" s="82"/>
      <c r="G723" s="82"/>
      <c r="H723" s="28"/>
      <c r="K723" s="82"/>
      <c r="AB723" s="59"/>
      <c r="AC723" s="51"/>
      <c r="AD723" s="49"/>
      <c r="AE723" s="51"/>
      <c r="AF723" s="49"/>
      <c r="AG723" s="49"/>
      <c r="AH723" s="49"/>
      <c r="AI723" s="40"/>
      <c r="AJ723" s="40"/>
      <c r="AK723" s="40"/>
      <c r="AL723" s="40"/>
    </row>
    <row r="724" spans="1:38" x14ac:dyDescent="0.2">
      <c r="A724" s="127">
        <f>A719*6</f>
        <v>300</v>
      </c>
      <c r="B724" s="123">
        <f>IF($I$85="x","PAINISSA",
SUM($C$3,$I$3)+IF(H723="x",1)+$I$16-$B$10+$M$94+IF($C$77="x",2)-IF($C$78="x",4)-IF($I$78="x",1)-IF($I$77="x",2)-IF($I$90="x",2)+IF($I$83="x",2)-IF($C$76="x",4)-$C$112+IF(H719="x",1)+I719+$M$77+IF(H721="x",1)+IF(J721="x",1)+IF($M$76="x",2)+J719+IF($M$85="x",1)+IF($M$113="x",1)+IF($M$120="x",2)+IF($M$119="x",2)+IF($M$105="x",1)+IF($M$110="x",1)+IF($M$111="x",2)+IF($M$112="x",4)+IF($M$108="x",1)-IF($M$109="x",1)-IF($M$99="x",1)+IF($M$90="x",1)-10)</f>
        <v>-10</v>
      </c>
      <c r="C724" s="82"/>
      <c r="D724" s="121"/>
      <c r="E724" s="82"/>
      <c r="F724" s="82"/>
      <c r="G724" s="82"/>
      <c r="H724" s="82"/>
      <c r="I724" s="25"/>
      <c r="J724" s="64"/>
      <c r="K724" s="64"/>
      <c r="AB724" s="62"/>
      <c r="AC724" s="53"/>
      <c r="AD724" s="49"/>
      <c r="AE724" s="51"/>
      <c r="AF724" s="49"/>
      <c r="AG724" s="49"/>
      <c r="AH724" s="49"/>
      <c r="AI724" s="48"/>
      <c r="AJ724" s="48"/>
      <c r="AK724" s="48"/>
    </row>
    <row r="725" spans="1:38" x14ac:dyDescent="0.2">
      <c r="A725" s="126">
        <f>A719*7</f>
        <v>350</v>
      </c>
      <c r="B725" s="121">
        <f>IF($I$85="x","PAINISSA",
SUM($C$3,$I$3)+IF(H723="x",1)+$I$16-$B$10+$M$94+IF($C$77="x",2)-IF($C$78="x",4)-IF($I$78="x",1)-IF($I$77="x",2)-IF($I$90="x",2)+IF($I$83="x",2)-IF($C$76="x",4)-$C$112+IF(H719="x",1)+I719+$M$77+IF(H721="x",1)+IF(J721="x",1)+IF($M$76="x",2)+J719+IF($M$85="x",1)+IF($M$113="x",1)+IF($M$120="x",2)+IF($M$119="x",2)+IF($M$105="x",1)+IF($M$110="x",1)+IF($M$111="x",2)+IF($M$112="x",4)+IF($M$108="x",1)-IF($M$109="x",1)-IF($M$99="x",1)+IF($M$90="x",1)-12)</f>
        <v>-12</v>
      </c>
      <c r="C725" s="82"/>
      <c r="D725" s="121"/>
      <c r="E725" s="82"/>
      <c r="F725" s="82"/>
      <c r="G725" s="82"/>
      <c r="H725" s="82"/>
      <c r="J725" s="64"/>
      <c r="K725" s="64"/>
      <c r="AB725" s="59"/>
      <c r="AC725" s="51"/>
      <c r="AD725" s="49"/>
      <c r="AE725" s="51"/>
      <c r="AF725" s="49"/>
      <c r="AG725" s="49"/>
      <c r="AH725" s="49"/>
      <c r="AI725" s="40"/>
      <c r="AJ725" s="40"/>
      <c r="AK725" s="40"/>
      <c r="AL725" s="50"/>
    </row>
    <row r="726" spans="1:38" x14ac:dyDescent="0.2">
      <c r="A726" s="127">
        <f>A719*8</f>
        <v>400</v>
      </c>
      <c r="B726" s="123">
        <f>IF($I$85="x","PAINISSA",
SUM($C$3,$I$3)+IF(H723="x",1)+$I$16-$B$10+$M$94+IF($C$77="x",2)-IF($C$78="x",4)-IF($I$78="x",1)-IF($I$77="x",2)-IF($I$90="x",2)+IF($I$83="x",2)-IF($C$76="x",4)-$C$112+IF(H719="x",1)+I719+$M$77+IF(H721="x",1)+IF(J721="x",1)+IF($M$76="x",2)+J719+IF($M$85="x",1)+IF($M$113="x",1)+IF($M$120="x",2)+IF($M$119="x",2)+IF($M$105="x",1)+IF($M$110="x",1)+IF($M$111="x",2)+IF($M$112="x",4)+IF($M$108="x",1)-IF($M$109="x",1)-IF($M$99="x",1)+IF($M$90="x",1)-14)</f>
        <v>-14</v>
      </c>
      <c r="C726" s="82"/>
      <c r="D726" s="121"/>
      <c r="E726" s="82"/>
      <c r="F726" s="82"/>
      <c r="G726" s="82"/>
      <c r="H726" s="82"/>
      <c r="I726" s="82"/>
      <c r="J726" s="64"/>
      <c r="K726" s="64"/>
      <c r="AB726" s="62"/>
      <c r="AC726" s="53"/>
      <c r="AD726" s="49"/>
      <c r="AE726" s="51"/>
      <c r="AF726" s="49"/>
      <c r="AG726" s="49"/>
      <c r="AH726" s="49"/>
      <c r="AI726" s="49"/>
      <c r="AJ726" s="50"/>
      <c r="AK726" s="65"/>
      <c r="AL726" s="65"/>
    </row>
    <row r="727" spans="1:38" x14ac:dyDescent="0.2">
      <c r="A727" s="126">
        <f>A719*9</f>
        <v>450</v>
      </c>
      <c r="B727" s="121">
        <f>IF($I$85="x","PAINISSA",
SUM($C$3,$I$3)+IF(H723="x",1)+$I$16-$B$10+$M$94+IF($C$77="x",2)-IF($C$78="x",4)-IF($I$78="x",1)-IF($I$77="x",2)-IF($I$90="x",2)+IF($I$83="x",2)-IF($C$76="x",4)-$C$112+IF(H719="x",1)+I719+$M$77+IF(H721="x",1)+IF(J721="x",1)+IF($M$76="x",2)+J719+IF($M$85="x",1)+IF($M$113="x",1)+IF($M$120="x",2)+IF($M$119="x",2)+IF($M$105="x",1)+IF($M$110="x",1)+IF($M$111="x",2)+IF($M$112="x",4)+IF($M$108="x",1)-IF($M$109="x",1)-IF($M$99="x",1)+IF($M$90="x",1)-16)</f>
        <v>-16</v>
      </c>
      <c r="C727" s="82"/>
      <c r="D727" s="121"/>
      <c r="E727" s="82"/>
      <c r="F727" s="82"/>
      <c r="G727" s="82"/>
      <c r="H727" s="82"/>
      <c r="I727" s="155"/>
      <c r="AB727" s="59"/>
      <c r="AC727" s="51"/>
      <c r="AD727" s="49"/>
      <c r="AE727" s="51"/>
      <c r="AF727" s="49"/>
      <c r="AG727" s="49"/>
      <c r="AH727" s="49"/>
      <c r="AI727" s="49"/>
      <c r="AJ727" s="40"/>
      <c r="AK727" s="65"/>
      <c r="AL727" s="65"/>
    </row>
    <row r="728" spans="1:38" x14ac:dyDescent="0.2">
      <c r="A728" s="127">
        <f>A719*10</f>
        <v>500</v>
      </c>
      <c r="B728" s="123">
        <f>IF($I$85="x","PAINISSA",
SUM($C$3,$I$3)+IF(H723="x",1)+$I$16-$B$10+$M$94+IF($C$77="x",2)-IF($C$78="x",4)-IF($I$78="x",1)-IF($I$77="x",2)-IF($I$90="x",2)+IF($I$83="x",2)-IF($C$76="x",4)-$C$112+IF(H719="x",1)+I719+$M$77+IF(H721="x",1)+IF(J721="x",1)+IF($M$76="x",2)+J719+IF($M$85="x",1)+IF($M$113="x",1)+IF($M$120="x",2)+IF($M$119="x",2)+IF($M$105="x",1)+IF($M$110="x",1)+IF($M$111="x",2)+IF($M$112="x",4)+IF($M$108="x",1)-IF($M$109="x",1)-IF($M$99="x",1)+IF($M$90="x",1)-18)</f>
        <v>-18</v>
      </c>
      <c r="C728" s="82"/>
      <c r="D728" s="121"/>
      <c r="E728" s="82"/>
      <c r="I728" s="155"/>
      <c r="J728" s="25"/>
      <c r="K728" s="25"/>
      <c r="AB728" s="62"/>
      <c r="AC728" s="53"/>
      <c r="AD728" s="49"/>
      <c r="AE728" s="51"/>
      <c r="AF728" s="49"/>
      <c r="AG728" s="49"/>
      <c r="AH728" s="49"/>
      <c r="AI728" s="49"/>
      <c r="AJ728" s="49"/>
      <c r="AK728" s="65"/>
      <c r="AL728" s="65"/>
    </row>
    <row r="729" spans="1:38" x14ac:dyDescent="0.2">
      <c r="B729" s="15"/>
      <c r="C729" s="15"/>
      <c r="D729" s="15"/>
      <c r="F729" s="15"/>
      <c r="G729" s="15"/>
      <c r="H729" s="15"/>
      <c r="I729" s="15"/>
      <c r="AB729" s="59"/>
      <c r="AC729" s="51"/>
      <c r="AD729" s="49"/>
      <c r="AE729" s="51"/>
      <c r="AF729" s="49"/>
      <c r="AG729" s="49"/>
      <c r="AH729" s="49"/>
      <c r="AI729" s="49"/>
      <c r="AJ729" s="67"/>
    </row>
    <row r="730" spans="1:38" x14ac:dyDescent="0.2">
      <c r="B730" s="15"/>
      <c r="C730" s="15"/>
      <c r="D730" s="15"/>
      <c r="F730" s="15"/>
      <c r="G730" s="15"/>
      <c r="H730" s="15"/>
      <c r="I730" s="15"/>
      <c r="AB730" s="62"/>
      <c r="AC730" s="53"/>
      <c r="AD730" s="49"/>
      <c r="AE730" s="51"/>
      <c r="AF730" s="49"/>
      <c r="AG730" s="40"/>
      <c r="AH730" s="40"/>
      <c r="AI730" s="40"/>
      <c r="AJ730" s="67"/>
      <c r="AK730" s="50"/>
      <c r="AL730" s="50"/>
    </row>
    <row r="731" spans="1:38" x14ac:dyDescent="0.2">
      <c r="A731" s="34" t="s">
        <v>274</v>
      </c>
      <c r="B731" s="11" t="s">
        <v>1</v>
      </c>
      <c r="C731" s="11" t="s">
        <v>2</v>
      </c>
      <c r="D731" s="11" t="s">
        <v>3</v>
      </c>
      <c r="E731" s="11" t="s">
        <v>229</v>
      </c>
      <c r="F731" s="11" t="s">
        <v>3</v>
      </c>
      <c r="G731" s="11" t="s">
        <v>45</v>
      </c>
      <c r="H731" s="14" t="s">
        <v>179</v>
      </c>
      <c r="I731" s="11" t="s">
        <v>242</v>
      </c>
      <c r="J731" s="11" t="s">
        <v>224</v>
      </c>
      <c r="K731" s="11" t="s">
        <v>225</v>
      </c>
    </row>
    <row r="732" spans="1:38" x14ac:dyDescent="0.2">
      <c r="A732" s="126">
        <f>IF($C$98="x",60*1.5,60)</f>
        <v>60</v>
      </c>
      <c r="B732" s="121">
        <f>_xlfn.IFS($I$85="x","PAINISSA",
$I$3&lt;6,SUM($C$3,$I$3)+IF(H736="x",1)+$I$16-$B$10+$M$94+IF($C$77="x",2)-IF($C$78="x",4)-IF($I$78="x",1)-IF($I$77="x",2)-IF($I$90="x",2)+IF($I$83="x",2)-IF($C$76="x",4)-$C$112+IF(H732="x",1)+I732+$M$77+IF(H734="x",1)+IF(J734="x",1)+IF($M$76="x",2)+J732+IF($M$85="x",1)+IF($M$113="x",1)+IF($M$120="x",2)+IF($M$119="x",2)+IF($M$105="x",1)+IF($M$110="x",1)+IF($M$111="x",2)+IF($M$112="x",4)+IF($M$108="x",1)-IF($M$109="x",1)-IF($M$99="x",1)+IF($M$90="x",1),
$I$3&lt;11,SUM($C$3,$I$3)+IF(H736="x",1)+$I$16-$B$10+$M$94+IF($C$77="x",2)-IF($C$78="x",4)-IF($I$78="x",1)-IF($I$77="x",2)-IF($I$90="x",2)+IF($I$83="x",2)-IF($C$76="x",4)-$C$112+IF(H732="x",1)+I732+$M$77+IF(H734="x",1)+IF(J734="x",1)+IF($M$76="x",2)+J732+IF($M$85="x",1)+IF($M$113="x",1)+IF($M$120="x",2)+IF($M$119="x",2)+IF($M$105="x",1)+IF($M$110="x",1)+IF($M$111="x",2)+IF($M$112="x",4)+IF($M$108="x",1)-IF($M$109="x",1)-IF($M$99="x",1)+IF($M$90="x",1)
&amp;"/"&amp;SUM($C$3,$I$3)+IF(H736="x",1)+$I$16-$B$10+$M$94+IF($C$77="x",2)-IF($C$78="x",4)-IF($I$78="x",1)-IF($I$77="x",2)-IF($I$90="x",2)+IF($I$83="x",2)-IF($C$76="x",4)-$C$112+IF(H732="x",1)+I732+$M$77+IF(H734="x",1)+IF(J734="x",1)+IF($M$76="x",2)+J732+IF($M$85="x",1)+IF($M$113="x",1)+IF($M$120="x",2)+IF($M$119="x",2)+IF($M$105="x",1)+IF($M$110="x",1)+IF($M$111="x",2)+IF($M$112="x",4)+IF($M$108="x",1)-IF($M$109="x",1)-IF($M$99="x",1)+IF($M$90="x",1)-5,
$I$3&lt;16,SUM($C$3,$I$3)+IF(H736="x",1)+$I$16-$B$10+$M$94+IF($C$77="x",2)-IF($C$78="x",4)-IF($I$78="x",1)-IF($I$77="x",2)-IF($I$90="x",2)+IF($I$83="x",2)-IF($C$76="x",4)-$C$112+IF(H732="x",1)+I732+$M$77+IF(H734="x",1)+IF(J734="x",1)+IF($M$76="x",2)+J732+IF($M$85="x",1)+IF($M$113="x",1)+IF($M$120="x",2)+IF($M$119="x",2)+IF($M$105="x",1)+IF($M$110="x",1)+IF($M$111="x",2)+IF($M$112="x",4)+IF($M$108="x",1)-IF($M$109="x",1)-IF($M$99="x",1)+IF($M$90="x",1)
&amp;"/"&amp;SUM($C$3,$I$3)+IF(H736="x",1)+$I$16-$B$10+$M$94+IF($C$77="x",2)-IF($C$78="x",4)-IF($I$78="x",1)-IF($I$77="x",2)-IF($I$90="x",2)+IF($I$83="x",2)-IF($C$76="x",4)-$C$112+IF(H732="x",1)+I732+$M$77+IF(H734="x",1)+IF(J734="x",1)+IF($M$76="x",2)+J732+IF($M$85="x",1)+IF($M$113="x",1)+IF($M$120="x",2)+IF($M$119="x",2)+IF($M$105="x",1)+IF($M$110="x",1)+IF($M$111="x",2)+IF($M$112="x",4)+IF($M$108="x",1)-IF($M$109="x",1)-IF($M$99="x",1)+IF($M$90="x",1)-5
&amp;"/"&amp;SUM($C$3,$I$3)+IF(H736="x",1)+$I$16-$B$10+$M$94+IF($C$77="x",2)-IF($C$78="x",4)-IF($I$78="x",1)-IF($I$77="x",2)-IF($I$90="x",2)+IF($I$83="x",2)-IF($C$76="x",4)-$C$112+IF(H732="x",1)+I732+$M$77+IF(H734="x",1)+IF(J734="x",1)+IF($M$76="x",2)+J732+IF($M$85="x",1)+IF($M$113="x",1)+IF($M$120="x",2)+IF($M$119="x",2)+IF($M$105="x",1)+IF($M$110="x",1)+IF($M$111="x",2)+IF($M$112="x",4)+IF($M$108="x",1)-IF($M$109="x",1)-IF($M$99="x",1)+IF($M$90="x",1)-10,
$I$3&gt;=16,SUM($C$3,$I$3)+IF(H736="x",1)+$I$16-$B$10+$M$94+IF($C$77="x",2)-IF($C$78="x",4)-IF($I$78="x",1)-IF($I$77="x",2)-IF($I$90="x",2)+IF($I$83="x",2)-IF($C$76="x",4)-$C$112+IF(H732="x",1)+I732+$M$77+IF(H734="x",1)+IF(J734="x",1)+IF($M$76="x",2)+J732+IF($M$85="x",1)+IF($M$113="x",1)+IF($M$120="x",2)+IF($M$119="x",2)+IF($M$105="x",1)+IF($M$110="x",1)+IF($M$111="x",2)+IF($M$112="x",4)+IF($M$108="x",1)-IF($M$109="x",1)-IF($M$99="x",1)+IF($M$90="x",1)
&amp;"/"&amp;SUM($C$3,$I$3)+IF(H736="x",1)+$I$16-$B$10+$M$94+IF($C$77="x",2)-IF($C$78="x",4)-IF($I$78="x",1)-IF($I$77="x",2)-IF($I$90="x",2)+IF($I$83="x",2)-IF($C$76="x",4)-$C$112+IF(H732="x",1)+I732+$M$77+IF(H734="x",1)+IF(J734="x",1)+IF($M$76="x",2)+J732+IF($M$85="x",1)+IF($M$113="x",1)+IF($M$120="x",2)+IF($M$119="x",2)+IF($M$105="x",1)+IF($M$110="x",1)+IF($M$111="x",2)+IF($M$112="x",4)+IF($M$108="x",1)-IF($M$109="x",1)-IF($M$99="x",1)+IF($M$90="x",1)-5
&amp;"/"&amp;SUM($C$3,$I$3)+IF(H736="x",1)+$I$16-$B$10+$M$94+IF($C$77="x",2)-IF($C$78="x",4)-IF($I$78="x",1)-IF($I$77="x",2)-IF($I$90="x",2)+IF($I$83="x",2)-IF($C$76="x",4)-$C$112+IF(H732="x",1)+I732+$M$77+IF(H734="x",1)+IF(J734="x",1)+IF($M$76="x",2)+J732+IF($M$85="x",1)+IF($M$113="x",1)+IF($M$120="x",2)+IF($M$119="x",2)+IF($M$105="x",1)+IF($M$110="x",1)+IF($M$111="x",2)+IF($M$112="x",4)+IF($M$108="x",1)-IF($M$109="x",1)-IF($M$99="x",1)+IF($M$90="x",1)-10
&amp;"/"&amp;SUM($C$3,$I$3)+IF(H736="x",1)+$I$16-$B$10+$M$94+IF($C$77="x",2)-IF($C$78="x",4)-IF($I$78="x",1)-IF($I$77="x",2)-IF($I$90="x",2)+IF($I$83="x",2)-IF($C$76="x",4)-$C$112+IF(H732="x",1)+I732+$M$77+IF(H734="x",1)+IF(J734="x",1)+IF($M$76="x",2)+J732+IF($M$85="x",1)+IF($M$113="x",1)+IF($M$120="x",2)+IF($M$119="x",2)+IF($M$105="x",1)+IF($M$110="x",1)+IF($M$111="x",2)+IF($M$112="x",4)+IF($M$108="x",1)-IF($M$109="x",1)-IF($M$99="x",1)+IF($M$90="x",1)-15)</f>
        <v>0</v>
      </c>
      <c r="C732" s="49" t="str">
        <f>_xlfn.IFS($C$7="Minimaalinen","1",$C$7="Taskukokoinen","1n2",$C$7="Hyvin pieni","1n3",$C$7="Pieni","1n4",$C$7="Keskikokoinen","1n6",$C$7="Iso","1n8",$C$7="Valtava","2n6",$C$7="Suunnaton","3n6",$C$7="Giganttinen","4n6")</f>
        <v>1n6</v>
      </c>
      <c r="D732" s="51">
        <f>IF(H736="x",1)+IF(I734="x",2)+I732+K732+IF(K734="x",2)+IF($I$2&lt;0,$I$2)</f>
        <v>0</v>
      </c>
      <c r="E732" s="49" t="str">
        <f>_xlfn.IFS($C$7="Minimaalinen","3",$C$7="Taskukokoinen","3n2",$C$7="Hyvin pieni","3n3",$C$7="Pieni","3n4",$C$7="Keskikokoinen","3n6",$C$7="Iso","3n8",$C$7="Valtava","6n6",$C$7="Suunnaton","9n6",$C$7="Giganttinen","12n6")</f>
        <v>3n6</v>
      </c>
      <c r="F732" s="82">
        <f>SUM(D732*3)</f>
        <v>0</v>
      </c>
      <c r="G732" s="82" t="str">
        <f>(IF($I$89="x","50 %","")&amp;(IF($C$81="x","20 %",""))&amp;(IF($C$82="x","50 %","")))</f>
        <v/>
      </c>
      <c r="H732" s="28"/>
      <c r="I732" s="17">
        <v>0</v>
      </c>
      <c r="J732" s="17">
        <v>0</v>
      </c>
      <c r="K732" s="17">
        <v>0</v>
      </c>
      <c r="AB732" s="46"/>
      <c r="AC732" s="48"/>
      <c r="AD732" s="48"/>
      <c r="AE732" s="48"/>
      <c r="AF732" s="48"/>
      <c r="AG732" s="48"/>
      <c r="AH732" s="48"/>
      <c r="AI732" s="48"/>
      <c r="AJ732" s="48"/>
      <c r="AK732" s="48"/>
      <c r="AL732" s="48"/>
    </row>
    <row r="733" spans="1:38" x14ac:dyDescent="0.2">
      <c r="A733" s="127">
        <f>A732*2</f>
        <v>120</v>
      </c>
      <c r="B733" s="123">
        <f>_xlfn.IFS($I$85="x","PAINISSA",
$I$3&lt;6,SUM($C$3,$I$3)-2+IF(H736="x",1)+$I$16-$B$10+$M$94+IF($C$77="x",2)-IF($C$78="x",4)-IF($I$78="x",1)-IF($I$77="x",2)-IF($I$90="x",2)+IF($I$83="x",2)-IF($C$76="x",4)-$C$112+IF(H732="x",1)+I732+$M$77+IF(H734="x",1)+IF(J734="x",1)+IF($M$76="x",2)+J732+IF($M$85="x",1)+IF($M$113="x",1)+IF($M$120="x",2)+IF($M$119="x",2)+IF($M$105="x",1)+IF($M$110="x",1)+IF($M$111="x",2)+IF($M$112="x",4)+IF($M$108="x",1)-IF($M$109="x",1)-IF($M$99="x",1)+IF($M$90="x",1),
$I$3&lt;11,SUM($C$3,$I$3)-2+IF(H736="x",1)+$I$16-$B$10+$M$94+IF($C$77="x",2)-IF($C$78="x",4)-IF($I$78="x",1)-IF($I$77="x",2)-IF($I$90="x",2)+IF($I$83="x",2)-IF($C$76="x",4)-$C$112+IF(H732="x",1)+I732+$M$77+IF(H734="x",1)+IF(J734="x",1)+IF($M$76="x",2)+J732+IF($M$85="x",1)+IF($M$113="x",1)+IF($M$120="x",2)+IF($M$119="x",2)+IF($M$105="x",1)+IF($M$110="x",1)+IF($M$111="x",2)+IF($M$112="x",4)+IF($M$108="x",1)-IF($M$109="x",1)-IF($M$99="x",1)+IF($M$90="x",1)
&amp;"/"&amp;SUM($C$3,$I$3)-2+IF(H736="x",1)+$I$16-$B$10+$M$94+IF($C$77="x",2)-IF($C$78="x",4)-IF($I$78="x",1)-IF($I$77="x",2)-IF($I$90="x",2)+IF($I$83="x",2)-IF($C$76="x",4)-$C$112+IF(H732="x",1)+I732+$M$77+IF(H734="x",1)+IF(J734="x",1)+IF($M$76="x",2)+J732+IF($M$85="x",1)+IF($M$113="x",1)+IF($M$120="x",2)+IF($M$119="x",2)+IF($M$105="x",1)+IF($M$110="x",1)+IF($M$111="x",2)+IF($M$112="x",4)+IF($M$108="x",1)-IF($M$109="x",1)-IF($M$99="x",1)+IF($M$90="x",1)-5,
$I$3&lt;16,SUM($C$3,$I$3)-2+IF(H736="x",1)+$I$16-$B$10+$M$94+IF($C$77="x",2)-IF($C$78="x",4)-IF($I$78="x",1)-IF($I$77="x",2)-IF($I$90="x",2)+IF($I$83="x",2)-IF($C$76="x",4)-$C$112+IF(H732="x",1)+I732+$M$77+IF(H734="x",1)+IF(J734="x",1)+IF($M$76="x",2)+J732+IF($M$85="x",1)+IF($M$113="x",1)+IF($M$120="x",2)+IF($M$119="x",2)+IF($M$105="x",1)+IF($M$110="x",1)+IF($M$111="x",2)+IF($M$112="x",4)+IF($M$108="x",1)-IF($M$109="x",1)-IF($M$99="x",1)+IF($M$90="x",1)
&amp;"/"&amp;SUM($C$3,$I$3)-2+IF(H736="x",1)+$I$16-$B$10+$M$94+IF($C$77="x",2)-IF($C$78="x",4)-IF($I$78="x",1)-IF($I$77="x",2)-IF($I$90="x",2)+IF($I$83="x",2)-IF($C$76="x",4)-$C$112+IF(H732="x",1)+I732+$M$77+IF(H734="x",1)+IF(J734="x",1)+IF($M$76="x",2)+J732+IF($M$85="x",1)+IF($M$113="x",1)+IF($M$120="x",2)+IF($M$119="x",2)+IF($M$105="x",1)+IF($M$110="x",1)+IF($M$111="x",2)+IF($M$112="x",4)+IF($M$108="x",1)-IF($M$109="x",1)-IF($M$99="x",1)+IF($M$90="x",1)-5
&amp;"/"&amp;SUM($C$3,$I$3)-2+IF(H736="x",1)+$I$16-$B$10+$M$94+IF($C$77="x",2)-IF($C$78="x",4)-IF($I$78="x",1)-IF($I$77="x",2)-IF($I$90="x",2)+IF($I$83="x",2)-IF($C$76="x",4)-$C$112+IF(H732="x",1)+I732+$M$77+IF(H734="x",1)+IF(J734="x",1)+IF($M$76="x",2)+J732+IF($M$85="x",1)+IF($M$113="x",1)+IF($M$120="x",2)+IF($M$119="x",2)+IF($M$105="x",1)+IF($M$110="x",1)+IF($M$111="x",2)+IF($M$112="x",4)+IF($M$108="x",1)-IF($M$109="x",1)-IF($M$99="x",1)+IF($M$90="x",1)-10,
$I$3&gt;=16,SUM($C$3,$I$3)-2+IF(H736="x",1)+$I$16-$B$10+$M$94+IF($C$77="x",2)-IF($C$78="x",4)-IF($I$78="x",1)-IF($I$77="x",2)-IF($I$90="x",2)+IF($I$83="x",2)-IF($C$76="x",4)-$C$112+IF(H732="x",1)+I732+$M$77+IF(H734="x",1)+IF(J734="x",1)+IF($M$76="x",2)+J732+IF($M$85="x",1)+IF($M$113="x",1)+IF($M$120="x",2)+IF($M$119="x",2)+IF($M$105="x",1)+IF($M$110="x",1)+IF($M$111="x",2)+IF($M$112="x",4)+IF($M$108="x",1)-IF($M$109="x",1)-IF($M$99="x",1)+IF($M$90="x",1)
&amp;"/"&amp;SUM($C$3,$I$3)-2+IF(H736="x",1)+$I$16-$B$10+$M$94+IF($C$77="x",2)-IF($C$78="x",4)-IF($I$78="x",1)-IF($I$77="x",2)-IF($I$90="x",2)+IF($I$83="x",2)-IF($C$76="x",4)-$C$112+IF(H732="x",1)+I732+$M$77+IF(H734="x",1)+IF(J734="x",1)+IF($M$76="x",2)+J732+IF($M$85="x",1)+IF($M$113="x",1)+IF($M$120="x",2)+IF($M$119="x",2)+IF($M$105="x",1)+IF($M$110="x",1)+IF($M$111="x",2)+IF($M$112="x",4)+IF($M$108="x",1)-IF($M$109="x",1)-IF($M$99="x",1)+IF($M$90="x",1)-5
&amp;"/"&amp;SUM($C$3,$I$3)-2+IF(H736="x",1)+$I$16-$B$10+$M$94+IF($C$77="x",2)-IF($C$78="x",4)-IF($I$78="x",1)-IF($I$77="x",2)-IF($I$90="x",2)+IF($I$83="x",2)-IF($C$76="x",4)-$C$112+IF(H732="x",1)+I732+$M$77+IF(H734="x",1)+IF(J734="x",1)+IF($M$76="x",2)+J732+IF($M$85="x",1)+IF($M$113="x",1)+IF($M$120="x",2)+IF($M$119="x",2)+IF($M$105="x",1)+IF($M$110="x",1)+IF($M$111="x",2)+IF($M$112="x",4)+IF($M$108="x",1)-IF($M$109="x",1)-IF($M$99="x",1)+IF($M$90="x",1)-10
&amp;"/"&amp;SUM($C$3,$I$3)-2+IF(H736="x",1)+$I$16-$B$10+$M$94+IF($C$77="x",2)-IF($C$78="x",4)-IF($I$78="x",1)-IF($I$77="x",2)-IF($I$90="x",2)+IF($I$83="x",2)-IF($C$76="x",4)-$C$112+IF(H732="x",1)+I732+$M$77+IF(H734="x",1)+IF(J734="x",1)+IF($M$76="x",2)+J732+IF($M$85="x",1)+IF($M$113="x",1)+IF($M$120="x",2)+IF($M$119="x",2)+IF($M$105="x",1)+IF($M$110="x",1)+IF($M$111="x",2)+IF($M$112="x",4)+IF($M$108="x",1)-IF($M$109="x",1)-IF($M$99="x",1)+IF($M$90="x",1)-15)</f>
        <v>-2</v>
      </c>
      <c r="C733" s="82"/>
      <c r="D733" s="121"/>
      <c r="E733" s="82"/>
      <c r="F733" s="82"/>
      <c r="G733" s="82"/>
      <c r="H733" s="14" t="s">
        <v>220</v>
      </c>
      <c r="I733" s="14" t="s">
        <v>221</v>
      </c>
      <c r="J733" s="14" t="s">
        <v>222</v>
      </c>
      <c r="K733" s="14" t="s">
        <v>223</v>
      </c>
      <c r="AB733" s="46"/>
      <c r="AC733" s="48"/>
      <c r="AD733" s="48"/>
      <c r="AE733" s="48"/>
      <c r="AF733" s="48"/>
      <c r="AG733" s="48"/>
      <c r="AH733" s="48"/>
      <c r="AI733" s="48"/>
      <c r="AJ733" s="48"/>
      <c r="AK733" s="48"/>
      <c r="AL733" s="48"/>
    </row>
    <row r="734" spans="1:38" x14ac:dyDescent="0.2">
      <c r="A734" s="126">
        <f>A732*3</f>
        <v>180</v>
      </c>
      <c r="B734" s="121">
        <f>_xlfn.IFS($I$85="x","PAINISSA",
$I$3&lt;6,SUM($C$3,$I$3)-4+IF(H736="x",1)+$I$16-$B$10+$M$94+IF($C$77="x",2)-IF($C$78="x",4)-IF($I$78="x",1)-IF($I$77="x",2)-IF($I$90="x",2)+IF($I$83="x",2)-IF($C$76="x",4)-$C$112+IF(H732="x",1)+I732+$M$77+IF(H734="x",1)+IF(J734="x",1)+IF($M$76="x",2)+J732+IF($M$85="x",1)+IF($M$113="x",1)+IF($M$120="x",2)+IF($M$119="x",2)+IF($M$105="x",1)+IF($M$110="x",1)+IF($M$111="x",2)+IF($M$112="x",4)+IF($M$108="x",1)-IF($M$109="x",1)-IF($M$99="x",1)+IF($M$90="x",1),
$I$3&lt;11,SUM($C$3,$I$3)-4+IF(H736="x",1)+$I$16-$B$10+$M$94+IF($C$77="x",2)-IF($C$78="x",4)-IF($I$78="x",1)-IF($I$77="x",2)-IF($I$90="x",2)+IF($I$83="x",2)-IF($C$76="x",4)-$C$112+IF(H732="x",1)+I732+$M$77+IF(H734="x",1)+IF(J734="x",1)+IF($M$76="x",2)+J732+IF($M$85="x",1)+IF($M$113="x",1)+IF($M$120="x",2)+IF($M$119="x",2)+IF($M$105="x",1)+IF($M$110="x",1)+IF($M$111="x",2)+IF($M$112="x",4)+IF($M$108="x",1)-IF($M$109="x",1)-IF($M$99="x",1)+IF($M$90="x",1)
&amp;"/"&amp;SUM($C$3,$I$3)-4+IF(H736="x",1)+$I$16-$B$10+$M$94+IF($C$77="x",2)-IF($C$78="x",4)-IF($I$78="x",1)-IF($I$77="x",2)-IF($I$90="x",2)+IF($I$83="x",2)-IF($C$76="x",4)-$C$112+IF(H732="x",1)+I732+$M$77+IF(H734="x",1)+IF(J734="x",1)+IF($M$76="x",2)+J732+IF($M$85="x",1)+IF($M$113="x",1)+IF($M$120="x",2)+IF($M$119="x",2)+IF($M$105="x",1)+IF($M$110="x",1)+IF($M$111="x",2)+IF($M$112="x",4)+IF($M$108="x",1)-IF($M$109="x",1)-IF($M$99="x",1)+IF($M$90="x",1)-5,
$I$3&lt;16,SUM($C$3,$I$3)-4+IF(H736="x",1)+$I$16-$B$10+$M$94+IF($C$77="x",2)-IF($C$78="x",4)-IF($I$78="x",1)-IF($I$77="x",2)-IF($I$90="x",2)+IF($I$83="x",2)-IF($C$76="x",4)-$C$112+IF(H732="x",1)+I732+$M$77+IF(H734="x",1)+IF(J734="x",1)+IF($M$76="x",2)+J732+IF($M$85="x",1)+IF($M$113="x",1)+IF($M$120="x",2)+IF($M$119="x",2)+IF($M$105="x",1)+IF($M$110="x",1)+IF($M$111="x",2)+IF($M$112="x",4)+IF($M$108="x",1)-IF($M$109="x",1)-IF($M$99="x",1)+IF($M$90="x",1)
&amp;"/"&amp;SUM($C$3,$I$3)-4+IF(H736="x",1)+$I$16-$B$10+$M$94+IF($C$77="x",2)-IF($C$78="x",4)-IF($I$78="x",1)-IF($I$77="x",2)-IF($I$90="x",2)+IF($I$83="x",2)-IF($C$76="x",4)-$C$112+IF(H732="x",1)+I732+$M$77+IF(H734="x",1)+IF(J734="x",1)+IF($M$76="x",2)+J732+IF($M$85="x",1)+IF($M$113="x",1)+IF($M$120="x",2)+IF($M$119="x",2)+IF($M$105="x",1)+IF($M$110="x",1)+IF($M$111="x",2)+IF($M$112="x",4)+IF($M$108="x",1)-IF($M$109="x",1)-IF($M$99="x",1)+IF($M$90="x",1)-5
&amp;"/"&amp;SUM($C$3,$I$3)-4+IF(H736="x",1)+$I$16-$B$10+$M$94+IF($C$77="x",2)-IF($C$78="x",4)-IF($I$78="x",1)-IF($I$77="x",2)-IF($I$90="x",2)+IF($I$83="x",2)-IF($C$76="x",4)-$C$112+IF(H732="x",1)+I732+$M$77+IF(H734="x",1)+IF(J734="x",1)+IF($M$76="x",2)+J732+IF($M$85="x",1)+IF($M$113="x",1)+IF($M$120="x",2)+IF($M$119="x",2)+IF($M$105="x",1)+IF($M$110="x",1)+IF($M$111="x",2)+IF($M$112="x",4)+IF($M$108="x",1)-IF($M$109="x",1)-IF($M$99="x",1)+IF($M$90="x",1)-10,
$I$3&gt;=16,SUM($C$3,$I$3)-4+IF(H736="x",1)+$I$16-$B$10+$M$94+IF($C$77="x",2)-IF($C$78="x",4)-IF($I$78="x",1)-IF($I$77="x",2)-IF($I$90="x",2)+IF($I$83="x",2)-IF($C$76="x",4)-$C$112+IF(H732="x",1)+I732+$M$77+IF(H734="x",1)+IF(J734="x",1)+IF($M$76="x",2)+J732+IF($M$85="x",1)+IF($M$113="x",1)+IF($M$120="x",2)+IF($M$119="x",2)+IF($M$105="x",1)+IF($M$110="x",1)+IF($M$111="x",2)+IF($M$112="x",4)+IF($M$108="x",1)-IF($M$109="x",1)-IF($M$99="x",1)+IF($M$90="x",1)
&amp;"/"&amp;SUM($C$3,$I$3)-4+IF(H736="x",1)+$I$16-$B$10+$M$94+IF($C$77="x",2)-IF($C$78="x",4)-IF($I$78="x",1)-IF($I$77="x",2)-IF($I$90="x",2)+IF($I$83="x",2)-IF($C$76="x",4)-$C$112+IF(H732="x",1)+I732+$M$77+IF(H734="x",1)+IF(J734="x",1)+IF($M$76="x",2)+J732+IF($M$85="x",1)+IF($M$113="x",1)+IF($M$120="x",2)+IF($M$119="x",2)+IF($M$105="x",1)+IF($M$110="x",1)+IF($M$111="x",2)+IF($M$112="x",4)+IF($M$108="x",1)-IF($M$109="x",1)-IF($M$99="x",1)+IF($M$90="x",1)-5
&amp;"/"&amp;SUM($C$3,$I$3)-4+IF(H736="x",1)+$I$16-$B$10+$M$94+IF($C$77="x",2)-IF($C$78="x",4)-IF($I$78="x",1)-IF($I$77="x",2)-IF($I$90="x",2)+IF($I$83="x",2)-IF($C$76="x",4)-$C$112+IF(H732="x",1)+I732+$M$77+IF(H734="x",1)+IF(J734="x",1)+IF($M$76="x",2)+J732+IF($M$85="x",1)+IF($M$113="x",1)+IF($M$120="x",2)+IF($M$119="x",2)+IF($M$105="x",1)+IF($M$110="x",1)+IF($M$111="x",2)+IF($M$112="x",4)+IF($M$108="x",1)-IF($M$109="x",1)-IF($M$99="x",1)+IF($M$90="x",1)-10
&amp;"/"&amp;SUM($C$3,$I$3)-4+IF(H736="x",1)+$I$16-$B$10+$M$94+IF($C$77="x",2)-IF($C$78="x",4)-IF($I$78="x",1)-IF($I$77="x",2)-IF($I$90="x",2)+IF($I$83="x",2)-IF($C$76="x",4)-$C$112+IF(H732="x",1)+I732+$M$77+IF(H734="x",1)+IF(J734="x",1)+IF($M$76="x",2)+J732+IF($M$85="x",1)+IF($M$113="x",1)+IF($M$120="x",2)+IF($M$119="x",2)+IF($M$105="x",1)+IF($M$110="x",1)+IF($M$111="x",2)+IF($M$112="x",4)+IF($M$108="x",1)-IF($M$109="x",1)-IF($M$99="x",1)+IF($M$90="x",1)-15)</f>
        <v>-4</v>
      </c>
      <c r="C734" s="82"/>
      <c r="D734" s="121"/>
      <c r="E734" s="82"/>
      <c r="F734" s="82"/>
      <c r="G734" s="82"/>
      <c r="H734" s="28"/>
      <c r="I734" s="28"/>
      <c r="J734" s="28"/>
      <c r="K734" s="28"/>
      <c r="AB734" s="59"/>
      <c r="AC734" s="51"/>
      <c r="AD734" s="49"/>
      <c r="AE734" s="51"/>
      <c r="AF734" s="49"/>
      <c r="AG734" s="49"/>
      <c r="AH734" s="49"/>
      <c r="AI734" s="40"/>
      <c r="AJ734" s="40"/>
      <c r="AK734" s="40"/>
      <c r="AL734" s="40"/>
    </row>
    <row r="735" spans="1:38" x14ac:dyDescent="0.2">
      <c r="A735" s="127">
        <f>A732*4</f>
        <v>240</v>
      </c>
      <c r="B735" s="123">
        <f>_xlfn.IFS($I$85="x","PAINISSA",
$I$3&lt;6,SUM($C$3,$I$3)-6+IF(H736="x",1)+$I$16-$B$10+$M$94+IF($C$77="x",2)-IF($C$78="x",4)-IF($I$78="x",1)-IF($I$77="x",2)-IF($I$90="x",2)+IF($I$83="x",2)-IF($C$76="x",4)-$C$112+IF(H732="x",1)+I732+$M$77+IF(H734="x",1)+IF(J734="x",1)+IF($M$76="x",2)+J732+IF($M$85="x",1)+IF($M$113="x",1)+IF($M$120="x",2)+IF($M$119="x",2)+IF($M$105="x",1)+IF($M$110="x",1)+IF($M$111="x",2)+IF($M$112="x",4)+IF($M$108="x",1)-IF($M$109="x",1)-IF($M$99="x",1)+IF($M$90="x",1),
$I$3&lt;11,SUM($C$3,$I$3)-6+IF(H736="x",1)+$I$16-$B$10+$M$94+IF($C$77="x",2)-IF($C$78="x",4)-IF($I$78="x",1)-IF($I$77="x",2)-IF($I$90="x",2)+IF($I$83="x",2)-IF($C$76="x",4)-$C$112+IF(H732="x",1)+I732+$M$77+IF(H734="x",1)+IF(J734="x",1)+IF($M$76="x",2)+J732+IF($M$85="x",1)+IF($M$113="x",1)+IF($M$120="x",2)+IF($M$119="x",2)+IF($M$105="x",1)+IF($M$110="x",1)+IF($M$111="x",2)+IF($M$112="x",4)+IF($M$108="x",1)-IF($M$109="x",1)-IF($M$99="x",1)+IF($M$90="x",1)
&amp;"/"&amp;SUM($C$3,$I$3)-6+IF(H736="x",1)+$I$16-$B$10+$M$94+IF($C$77="x",2)-IF($C$78="x",4)-IF($I$78="x",1)-IF($I$77="x",2)-IF($I$90="x",2)+IF($I$83="x",2)-IF($C$76="x",4)-$C$112+IF(H732="x",1)+I732+$M$77+IF(H734="x",1)+IF(J734="x",1)+IF($M$76="x",2)+J732+IF($M$85="x",1)+IF($M$113="x",1)+IF($M$120="x",2)+IF($M$119="x",2)+IF($M$105="x",1)+IF($M$110="x",1)+IF($M$111="x",2)+IF($M$112="x",4)+IF($M$108="x",1)-IF($M$109="x",1)-IF($M$99="x",1)+IF($M$90="x",1)-5,
$I$3&lt;16,SUM($C$3,$I$3)-6+IF(H736="x",1)+$I$16-$B$10+$M$94+IF($C$77="x",2)-IF($C$78="x",4)-IF($I$78="x",1)-IF($I$77="x",2)-IF($I$90="x",2)+IF($I$83="x",2)-IF($C$76="x",4)-$C$112+IF(H732="x",1)+I732+$M$77+IF(H734="x",1)+IF(J734="x",1)+IF($M$76="x",2)+J732+IF($M$85="x",1)+IF($M$113="x",1)+IF($M$120="x",2)+IF($M$119="x",2)+IF($M$105="x",1)+IF($M$110="x",1)+IF($M$111="x",2)+IF($M$112="x",4)+IF($M$108="x",1)-IF($M$109="x",1)-IF($M$99="x",1)+IF($M$90="x",1)
&amp;"/"&amp;SUM($C$3,$I$3)-6+IF(H736="x",1)+$I$16-$B$10+$M$94+IF($C$77="x",2)-IF($C$78="x",4)-IF($I$78="x",1)-IF($I$77="x",2)-IF($I$90="x",2)+IF($I$83="x",2)-IF($C$76="x",4)-$C$112+IF(H732="x",1)+I732+$M$77+IF(H734="x",1)+IF(J734="x",1)+IF($M$76="x",2)+J732+IF($M$85="x",1)+IF($M$113="x",1)+IF($M$120="x",2)+IF($M$119="x",2)+IF($M$105="x",1)+IF($M$110="x",1)+IF($M$111="x",2)+IF($M$112="x",4)+IF($M$108="x",1)-IF($M$109="x",1)-IF($M$99="x",1)+IF($M$90="x",1)-5
&amp;"/"&amp;SUM($C$3,$I$3)-6+IF(H736="x",1)+$I$16-$B$10+$M$94+IF($C$77="x",2)-IF($C$78="x",4)-IF($I$78="x",1)-IF($I$77="x",2)-IF($I$90="x",2)+IF($I$83="x",2)-IF($C$76="x",4)-$C$112+IF(H732="x",1)+I732+$M$77+IF(H734="x",1)+IF(J734="x",1)+IF($M$76="x",2)+J732+IF($M$85="x",1)+IF($M$113="x",1)+IF($M$120="x",2)+IF($M$119="x",2)+IF($M$105="x",1)+IF($M$110="x",1)+IF($M$111="x",2)+IF($M$112="x",4)+IF($M$108="x",1)-IF($M$109="x",1)-IF($M$99="x",1)+IF($M$90="x",1)-10,
$I$3&gt;=16,SUM($C$3,$I$3)-6+IF(H736="x",1)+$I$16-$B$10+$M$94+IF($C$77="x",2)-IF($C$78="x",4)-IF($I$78="x",1)-IF($I$77="x",2)-IF($I$90="x",2)+IF($I$83="x",2)-IF($C$76="x",4)-$C$112+IF(H732="x",1)+I732+$M$77+IF(H734="x",1)+IF(J734="x",1)+IF($M$76="x",2)+J732+IF($M$85="x",1)+IF($M$113="x",1)+IF($M$120="x",2)+IF($M$119="x",2)+IF($M$105="x",1)+IF($M$110="x",1)+IF($M$111="x",2)+IF($M$112="x",4)+IF($M$108="x",1)-IF($M$109="x",1)-IF($M$99="x",1)+IF($M$90="x",1)
&amp;"/"&amp;SUM($C$3,$I$3)-6+IF(H736="x",1)+$I$16-$B$10+$M$94+IF($C$77="x",2)-IF($C$78="x",4)-IF($I$78="x",1)-IF($I$77="x",2)-IF($I$90="x",2)+IF($I$83="x",2)-IF($C$76="x",4)-$C$112+IF(H732="x",1)+I732+$M$77+IF(H734="x",1)+IF(J734="x",1)+IF($M$76="x",2)+J732+IF($M$85="x",1)+IF($M$113="x",1)+IF($M$120="x",2)+IF($M$119="x",2)+IF($M$105="x",1)+IF($M$110="x",1)+IF($M$111="x",2)+IF($M$112="x",4)+IF($M$108="x",1)-IF($M$109="x",1)-IF($M$99="x",1)+IF($M$90="x",1)-5
&amp;"/"&amp;SUM($C$3,$I$3)-6+IF(H736="x",1)+$I$16-$B$10+$M$94+IF($C$77="x",2)-IF($C$78="x",4)-IF($I$78="x",1)-IF($I$77="x",2)-IF($I$90="x",2)+IF($I$83="x",2)-IF($C$76="x",4)-$C$112+IF(H732="x",1)+I732+$M$77+IF(H734="x",1)+IF(J734="x",1)+IF($M$76="x",2)+J732+IF($M$85="x",1)+IF($M$113="x",1)+IF($M$120="x",2)+IF($M$119="x",2)+IF($M$105="x",1)+IF($M$110="x",1)+IF($M$111="x",2)+IF($M$112="x",4)+IF($M$108="x",1)-IF($M$109="x",1)-IF($M$99="x",1)+IF($M$90="x",1)-10
&amp;"/"&amp;SUM($C$3,$I$3)-6+IF(H736="x",1)+$I$16-$B$10+$M$94+IF($C$77="x",2)-IF($C$78="x",4)-IF($I$78="x",1)-IF($I$77="x",2)-IF($I$90="x",2)+IF($I$83="x",2)-IF($C$76="x",4)-$C$112+IF(H732="x",1)+I732+$M$77+IF(H734="x",1)+IF(J734="x",1)+IF($M$76="x",2)+J732+IF($M$85="x",1)+IF($M$113="x",1)+IF($M$120="x",2)+IF($M$119="x",2)+IF($M$105="x",1)+IF($M$110="x",1)+IF($M$111="x",2)+IF($M$112="x",4)+IF($M$108="x",1)-IF($M$109="x",1)-IF($M$99="x",1)+IF($M$90="x",1)-15)</f>
        <v>-6</v>
      </c>
      <c r="C735" s="82"/>
      <c r="D735" s="121"/>
      <c r="E735" s="82"/>
      <c r="F735" s="82"/>
      <c r="G735" s="82"/>
      <c r="H735" s="14" t="s">
        <v>182</v>
      </c>
      <c r="I735" s="15"/>
      <c r="AB735" s="62"/>
      <c r="AC735" s="53"/>
      <c r="AD735" s="49"/>
      <c r="AE735" s="51"/>
      <c r="AF735" s="49"/>
      <c r="AG735" s="49"/>
      <c r="AH735" s="49"/>
      <c r="AI735" s="48"/>
      <c r="AJ735" s="48"/>
      <c r="AK735" s="48"/>
      <c r="AL735" s="48"/>
    </row>
    <row r="736" spans="1:38" x14ac:dyDescent="0.2">
      <c r="A736" s="126">
        <f>A732*5</f>
        <v>300</v>
      </c>
      <c r="B736" s="121">
        <f>_xlfn.IFS($I$85="x","PAINISSA",
$I$3&lt;6,SUM($C$3,$I$3)-8+IF(H736="x",1)+$I$16-$B$10+$M$94+IF($C$77="x",2)-IF($C$78="x",4)-IF($I$78="x",1)-IF($I$77="x",2)-IF($I$90="x",2)+IF($I$83="x",2)-IF($C$76="x",4)-$C$112+IF(H732="x",1)+I732+$M$77+IF(H734="x",1)+IF(J734="x",1)+IF($M$76="x",2)+J732+IF($M$85="x",1)+IF($M$113="x",1)+IF($M$120="x",2)+IF($M$119="x",2)+IF($M$105="x",1)+IF($M$110="x",1)+IF($M$111="x",2)+IF($M$112="x",4)+IF($M$108="x",1)-IF($M$109="x",1)-IF($M$99="x",1)+IF($M$90="x",1),
$I$3&lt;11,SUM($C$3,$I$3)-8+IF(H736="x",1)+$I$16-$B$10+$M$94+IF($C$77="x",2)-IF($C$78="x",4)-IF($I$78="x",1)-IF($I$77="x",2)-IF($I$90="x",2)+IF($I$83="x",2)-IF($C$76="x",4)-$C$112+IF(H732="x",1)+I732+$M$77+IF(H734="x",1)+IF(J734="x",1)+IF($M$76="x",2)+J732+IF($M$85="x",1)+IF($M$113="x",1)+IF($M$120="x",2)+IF($M$119="x",2)+IF($M$105="x",1)+IF($M$110="x",1)+IF($M$111="x",2)+IF($M$112="x",4)+IF($M$108="x",1)-IF($M$109="x",1)-IF($M$99="x",1)+IF($M$90="x",1)
&amp;"/"&amp;SUM($C$3,$I$3)-8+IF(H736="x",1)+$I$16-$B$10+$M$94+IF($C$77="x",2)-IF($C$78="x",4)-IF($I$78="x",1)-IF($I$77="x",2)-IF($I$90="x",2)+IF($I$83="x",2)-IF($C$76="x",4)-$C$112+IF(H732="x",1)+I732+$M$77+IF(H734="x",1)+IF(J734="x",1)+IF($M$76="x",2)+J732+IF($M$85="x",1)+IF($M$113="x",1)+IF($M$120="x",2)+IF($M$119="x",2)+IF($M$105="x",1)+IF($M$110="x",1)+IF($M$111="x",2)+IF($M$112="x",4)+IF($M$108="x",1)-IF($M$109="x",1)-IF($M$99="x",1)+IF($M$90="x",1)-5,
$I$3&lt;16,SUM($C$3,$I$3)-8+IF(H736="x",1)+$I$16-$B$10+$M$94+IF($C$77="x",2)-IF($C$78="x",4)-IF($I$78="x",1)-IF($I$77="x",2)-IF($I$90="x",2)+IF($I$83="x",2)-IF($C$76="x",4)-$C$112+IF(H732="x",1)+I732+$M$77+IF(H734="x",1)+IF(J734="x",1)+IF($M$76="x",2)+J732+IF($M$85="x",1)+IF($M$113="x",1)+IF($M$120="x",2)+IF($M$119="x",2)+IF($M$105="x",1)+IF($M$110="x",1)+IF($M$111="x",2)+IF($M$112="x",4)+IF($M$108="x",1)-IF($M$109="x",1)-IF($M$99="x",1)+IF($M$90="x",1)
&amp;"/"&amp;SUM($C$3,$I$3)-8+IF(H736="x",1)+$I$16-$B$10+$M$94+IF($C$77="x",2)-IF($C$78="x",4)-IF($I$78="x",1)-IF($I$77="x",2)-IF($I$90="x",2)+IF($I$83="x",2)-IF($C$76="x",4)-$C$112+IF(H732="x",1)+I732+$M$77+IF(H734="x",1)+IF(J734="x",1)+IF($M$76="x",2)+J732+IF($M$85="x",1)+IF($M$113="x",1)+IF($M$120="x",2)+IF($M$119="x",2)+IF($M$105="x",1)+IF($M$110="x",1)+IF($M$111="x",2)+IF($M$112="x",4)+IF($M$108="x",1)-IF($M$109="x",1)-IF($M$99="x",1)+IF($M$90="x",1)-5
&amp;"/"&amp;SUM($C$3,$I$3)-8+IF(H736="x",1)+$I$16-$B$10+$M$94+IF($C$77="x",2)-IF($C$78="x",4)-IF($I$78="x",1)-IF($I$77="x",2)-IF($I$90="x",2)+IF($I$83="x",2)-IF($C$76="x",4)-$C$112+IF(H732="x",1)+I732+$M$77+IF(H734="x",1)+IF(J734="x",1)+IF($M$76="x",2)+J732+IF($M$85="x",1)+IF($M$113="x",1)+IF($M$120="x",2)+IF($M$119="x",2)+IF($M$105="x",1)+IF($M$110="x",1)+IF($M$111="x",2)+IF($M$112="x",4)+IF($M$108="x",1)-IF($M$109="x",1)-IF($M$99="x",1)+IF($M$90="x",1)-10,
$I$3&gt;=16,SUM($C$3,$I$3)-8+IF(H736="x",1)+$I$16-$B$10+$M$94+IF($C$77="x",2)-IF($C$78="x",4)-IF($I$78="x",1)-IF($I$77="x",2)-IF($I$90="x",2)+IF($I$83="x",2)-IF($C$76="x",4)-$C$112+IF(H732="x",1)+I732+$M$77+IF(H734="x",1)+IF(J734="x",1)+IF($M$76="x",2)+J732+IF($M$85="x",1)+IF($M$113="x",1)+IF($M$120="x",2)+IF($M$119="x",2)+IF($M$105="x",1)+IF($M$110="x",1)+IF($M$111="x",2)+IF($M$112="x",4)+IF($M$108="x",1)-IF($M$109="x",1)-IF($M$99="x",1)+IF($M$90="x",1)
&amp;"/"&amp;SUM($C$3,$I$3)-8+IF(H736="x",1)+$I$16-$B$10+$M$94+IF($C$77="x",2)-IF($C$78="x",4)-IF($I$78="x",1)-IF($I$77="x",2)-IF($I$90="x",2)+IF($I$83="x",2)-IF($C$76="x",4)-$C$112+IF(H732="x",1)+I732+$M$77+IF(H734="x",1)+IF(J734="x",1)+IF($M$76="x",2)+J732+IF($M$85="x",1)+IF($M$113="x",1)+IF($M$120="x",2)+IF($M$119="x",2)+IF($M$105="x",1)+IF($M$110="x",1)+IF($M$111="x",2)+IF($M$112="x",4)+IF($M$108="x",1)-IF($M$109="x",1)-IF($M$99="x",1)+IF($M$90="x",1)-5
&amp;"/"&amp;SUM($C$3,$I$3)-8+IF(H736="x",1)+$I$16-$B$10+$M$94+IF($C$77="x",2)-IF($C$78="x",4)-IF($I$78="x",1)-IF($I$77="x",2)-IF($I$90="x",2)+IF($I$83="x",2)-IF($C$76="x",4)-$C$112+IF(H732="x",1)+I732+$M$77+IF(H734="x",1)+IF(J734="x",1)+IF($M$76="x",2)+J732+IF($M$85="x",1)+IF($M$113="x",1)+IF($M$120="x",2)+IF($M$119="x",2)+IF($M$105="x",1)+IF($M$110="x",1)+IF($M$111="x",2)+IF($M$112="x",4)+IF($M$108="x",1)-IF($M$109="x",1)-IF($M$99="x",1)+IF($M$90="x",1)-10
&amp;"/"&amp;SUM($C$3,$I$3)-8+IF(H736="x",1)+$I$16-$B$10+$M$94+IF($C$77="x",2)-IF($C$78="x",4)-IF($I$78="x",1)-IF($I$77="x",2)-IF($I$90="x",2)+IF($I$83="x",2)-IF($C$76="x",4)-$C$112+IF(H732="x",1)+I732+$M$77+IF(H734="x",1)+IF(J734="x",1)+IF($M$76="x",2)+J732+IF($M$85="x",1)+IF($M$113="x",1)+IF($M$120="x",2)+IF($M$119="x",2)+IF($M$105="x",1)+IF($M$110="x",1)+IF($M$111="x",2)+IF($M$112="x",4)+IF($M$108="x",1)-IF($M$109="x",1)-IF($M$99="x",1)+IF($M$90="x",1)-15)</f>
        <v>-8</v>
      </c>
      <c r="C736" s="82"/>
      <c r="D736" s="121"/>
      <c r="E736" s="82"/>
      <c r="F736" s="82"/>
      <c r="G736" s="82"/>
      <c r="H736" s="28"/>
      <c r="K736" s="82"/>
      <c r="AB736" s="59"/>
      <c r="AC736" s="51"/>
      <c r="AD736" s="49"/>
      <c r="AE736" s="51"/>
      <c r="AF736" s="49"/>
      <c r="AG736" s="49"/>
      <c r="AH736" s="49"/>
      <c r="AI736" s="40"/>
      <c r="AJ736" s="40"/>
      <c r="AK736" s="40"/>
      <c r="AL736" s="40"/>
    </row>
    <row r="737" spans="1:38" x14ac:dyDescent="0.2">
      <c r="A737" s="127">
        <f>A732*6</f>
        <v>360</v>
      </c>
      <c r="B737" s="123">
        <f>_xlfn.IFS($I$85="x","PAINISSA",
$I$3&lt;6,SUM($C$3,$I$3)-10+IF(H736="x",1)+$I$16-$B$10+$M$94+IF($C$77="x",2)-IF($C$78="x",4)-IF($I$78="x",1)-IF($I$77="x",2)-IF($I$90="x",2)+IF($I$83="x",2)-IF($C$76="x",4)-$C$112+IF(H732="x",1)+I732+$M$77+IF(H734="x",1)+IF(J734="x",1)+IF($M$76="x",2)+J732+IF($M$85="x",1)+IF($M$113="x",1)+IF($M$120="x",2)+IF($M$119="x",2)+IF($M$105="x",1)+IF($M$110="x",1)+IF($M$111="x",2)+IF($M$112="x",4)+IF($M$108="x",1)-IF($M$109="x",1)-IF($M$99="x",1)+IF($M$90="x",1),
$I$3&lt;11,SUM($C$3,$I$3)-10+IF(H736="x",1)+$I$16-$B$10+$M$94+IF($C$77="x",2)-IF($C$78="x",4)-IF($I$78="x",1)-IF($I$77="x",2)-IF($I$90="x",2)+IF($I$83="x",2)-IF($C$76="x",4)-$C$112+IF(H732="x",1)+I732+$M$77+IF(H734="x",1)+IF(J734="x",1)+IF($M$76="x",2)+J732+IF($M$85="x",1)+IF($M$113="x",1)+IF($M$120="x",2)+IF($M$119="x",2)+IF($M$105="x",1)+IF($M$110="x",1)+IF($M$111="x",2)+IF($M$112="x",4)+IF($M$108="x",1)-IF($M$109="x",1)-IF($M$99="x",1)+IF($M$90="x",1)
&amp;"/"&amp;SUM($C$3,$I$3)-10+IF(H736="x",1)+$I$16-$B$10+$M$94+IF($C$77="x",2)-IF($C$78="x",4)-IF($I$78="x",1)-IF($I$77="x",2)-IF($I$90="x",2)+IF($I$83="x",2)-IF($C$76="x",4)-$C$112+IF(H732="x",1)+I732+$M$77+IF(H734="x",1)+IF(J734="x",1)+IF($M$76="x",2)+J732+IF($M$85="x",1)+IF($M$113="x",1)+IF($M$120="x",2)+IF($M$119="x",2)+IF($M$105="x",1)+IF($M$110="x",1)+IF($M$111="x",2)+IF($M$112="x",4)+IF($M$108="x",1)-IF($M$109="x",1)-IF($M$99="x",1)+IF($M$90="x",1)-5,
$I$3&lt;16,SUM($C$3,$I$3)-10+IF(H736="x",1)+$I$16-$B$10+$M$94+IF($C$77="x",2)-IF($C$78="x",4)-IF($I$78="x",1)-IF($I$77="x",2)-IF($I$90="x",2)+IF($I$83="x",2)-IF($C$76="x",4)-$C$112+IF(H732="x",1)+I732+$M$77+IF(H734="x",1)+IF(J734="x",1)+IF($M$76="x",2)+J732+IF($M$85="x",1)+IF($M$113="x",1)+IF($M$120="x",2)+IF($M$119="x",2)+IF($M$105="x",1)+IF($M$110="x",1)+IF($M$111="x",2)+IF($M$112="x",4)+IF($M$108="x",1)-IF($M$109="x",1)-IF($M$99="x",1)+IF($M$90="x",1)
&amp;"/"&amp;SUM($C$3,$I$3)-10+IF(H736="x",1)+$I$16-$B$10+$M$94+IF($C$77="x",2)-IF($C$78="x",4)-IF($I$78="x",1)-IF($I$77="x",2)-IF($I$90="x",2)+IF($I$83="x",2)-IF($C$76="x",4)-$C$112+IF(H732="x",1)+I732+$M$77+IF(H734="x",1)+IF(J734="x",1)+IF($M$76="x",2)+J732+IF($M$85="x",1)+IF($M$113="x",1)+IF($M$120="x",2)+IF($M$119="x",2)+IF($M$105="x",1)+IF($M$110="x",1)+IF($M$111="x",2)+IF($M$112="x",4)+IF($M$108="x",1)-IF($M$109="x",1)-IF($M$99="x",1)+IF($M$90="x",1)-5
&amp;"/"&amp;SUM($C$3,$I$3)-10+IF(H736="x",1)+$I$16-$B$10+$M$94+IF($C$77="x",2)-IF($C$78="x",4)-IF($I$78="x",1)-IF($I$77="x",2)-IF($I$90="x",2)+IF($I$83="x",2)-IF($C$76="x",4)-$C$112+IF(H732="x",1)+I732+$M$77+IF(H734="x",1)+IF(J734="x",1)+IF($M$76="x",2)+J732+IF($M$85="x",1)+IF($M$113="x",1)+IF($M$120="x",2)+IF($M$119="x",2)+IF($M$105="x",1)+IF($M$110="x",1)+IF($M$111="x",2)+IF($M$112="x",4)+IF($M$108="x",1)-IF($M$109="x",1)-IF($M$99="x",1)+IF($M$90="x",1)-10,
$I$3&gt;=16,SUM($C$3,$I$3)-10+IF(H736="x",1)+$I$16-$B$10+$M$94+IF($C$77="x",2)-IF($C$78="x",4)-IF($I$78="x",1)-IF($I$77="x",2)-IF($I$90="x",2)+IF($I$83="x",2)-IF($C$76="x",4)-$C$112+IF(H732="x",1)+I732+$M$77+IF(H734="x",1)+IF(J734="x",1)+IF($M$76="x",2)+J732+IF($M$85="x",1)+IF($M$113="x",1)+IF($M$120="x",2)+IF($M$119="x",2)+IF($M$105="x",1)+IF($M$110="x",1)+IF($M$111="x",2)+IF($M$112="x",4)+IF($M$108="x",1)-IF($M$109="x",1)-IF($M$99="x",1)+IF($M$90="x",1)
&amp;"/"&amp;SUM($C$3,$I$3)-10+IF(H736="x",1)+$I$16-$B$10+$M$94+IF($C$77="x",2)-IF($C$78="x",4)-IF($I$78="x",1)-IF($I$77="x",2)-IF($I$90="x",2)+IF($I$83="x",2)-IF($C$76="x",4)-$C$112+IF(H732="x",1)+I732+$M$77+IF(H734="x",1)+IF(J734="x",1)+IF($M$76="x",2)+J732+IF($M$85="x",1)+IF($M$113="x",1)+IF($M$120="x",2)+IF($M$119="x",2)+IF($M$105="x",1)+IF($M$110="x",1)+IF($M$111="x",2)+IF($M$112="x",4)+IF($M$108="x",1)-IF($M$109="x",1)-IF($M$99="x",1)+IF($M$90="x",1)-5
&amp;"/"&amp;SUM($C$3,$I$3)-10+IF(H736="x",1)+$I$16-$B$10+$M$94+IF($C$77="x",2)-IF($C$78="x",4)-IF($I$78="x",1)-IF($I$77="x",2)-IF($I$90="x",2)+IF($I$83="x",2)-IF($C$76="x",4)-$C$112+IF(H732="x",1)+I732+$M$77+IF(H734="x",1)+IF(J734="x",1)+IF($M$76="x",2)+J732+IF($M$85="x",1)+IF($M$113="x",1)+IF($M$120="x",2)+IF($M$119="x",2)+IF($M$105="x",1)+IF($M$110="x",1)+IF($M$111="x",2)+IF($M$112="x",4)+IF($M$108="x",1)-IF($M$109="x",1)-IF($M$99="x",1)+IF($M$90="x",1)-10
&amp;"/"&amp;SUM($C$3,$I$3)-10+IF(H736="x",1)+$I$16-$B$10+$M$94+IF($C$77="x",2)-IF($C$78="x",4)-IF($I$78="x",1)-IF($I$77="x",2)-IF($I$90="x",2)+IF($I$83="x",2)-IF($C$76="x",4)-$C$112+IF(H732="x",1)+I732+$M$77+IF(H734="x",1)+IF(J734="x",1)+IF($M$76="x",2)+J732+IF($M$85="x",1)+IF($M$113="x",1)+IF($M$120="x",2)+IF($M$119="x",2)+IF($M$105="x",1)+IF($M$110="x",1)+IF($M$111="x",2)+IF($M$112="x",4)+IF($M$108="x",1)-IF($M$109="x",1)-IF($M$99="x",1)+IF($M$90="x",1)-15)</f>
        <v>-10</v>
      </c>
      <c r="C737" s="82"/>
      <c r="D737" s="121"/>
      <c r="E737" s="82"/>
      <c r="F737" s="82"/>
      <c r="G737" s="82"/>
      <c r="H737" s="82"/>
      <c r="I737" s="25"/>
      <c r="J737" s="64"/>
      <c r="K737" s="64"/>
      <c r="AB737" s="62"/>
      <c r="AC737" s="53"/>
      <c r="AD737" s="49"/>
      <c r="AE737" s="51"/>
      <c r="AF737" s="49"/>
      <c r="AG737" s="49"/>
      <c r="AH737" s="49"/>
      <c r="AI737" s="48"/>
      <c r="AJ737" s="48"/>
    </row>
    <row r="738" spans="1:38" x14ac:dyDescent="0.2">
      <c r="A738" s="126">
        <f>A732*7</f>
        <v>420</v>
      </c>
      <c r="B738" s="121">
        <f>_xlfn.IFS($I$85="x","PAINISSA",
$I$3&lt;6,SUM($C$3,$I$3)-12+IF(H736="x",1)+$I$16-$B$10+$M$94+IF($C$77="x",2)-IF($C$78="x",4)-IF($I$78="x",1)-IF($I$77="x",2)-IF($I$90="x",2)+IF($I$83="x",2)-IF($C$76="x",4)-$C$112+IF(H732="x",1)+I732+$M$77+IF(H734="x",1)+IF(J734="x",1)+IF($M$76="x",2)+J732+IF($M$85="x",1)+IF($M$113="x",1)+IF($M$120="x",2)+IF($M$119="x",2)+IF($M$105="x",1)+IF($M$110="x",1)+IF($M$111="x",2)+IF($M$112="x",4)+IF($M$108="x",1)-IF($M$109="x",1)-IF($M$99="x",1)+IF($M$90="x",1),
$I$3&lt;11,SUM($C$3,$I$3)-12+IF(H736="x",1)+$I$16-$B$10+$M$94+IF($C$77="x",2)-IF($C$78="x",4)-IF($I$78="x",1)-IF($I$77="x",2)-IF($I$90="x",2)+IF($I$83="x",2)-IF($C$76="x",4)-$C$112+IF(H732="x",1)+I732+$M$77+IF(H734="x",1)+IF(J734="x",1)+IF($M$76="x",2)+J732+IF($M$85="x",1)+IF($M$113="x",1)+IF($M$120="x",2)+IF($M$119="x",2)+IF($M$105="x",1)+IF($M$110="x",1)+IF($M$111="x",2)+IF($M$112="x",4)+IF($M$108="x",1)-IF($M$109="x",1)-IF($M$99="x",1)+IF($M$90="x",1)
&amp;"/"&amp;SUM($C$3,$I$3)-12+IF(H736="x",1)+$I$16-$B$10+$M$94+IF($C$77="x",2)-IF($C$78="x",4)-IF($I$78="x",1)-IF($I$77="x",2)-IF($I$90="x",2)+IF($I$83="x",2)-IF($C$76="x",4)-$C$112+IF(H732="x",1)+I732+$M$77+IF(H734="x",1)+IF(J734="x",1)+IF($M$76="x",2)+J732+IF($M$85="x",1)+IF($M$113="x",1)+IF($M$120="x",2)+IF($M$119="x",2)+IF($M$105="x",1)+IF($M$110="x",1)+IF($M$111="x",2)+IF($M$112="x",4)+IF($M$108="x",1)-IF($M$109="x",1)-IF($M$99="x",1)+IF($M$90="x",1)-5,
$I$3&lt;16,SUM($C$3,$I$3)-12+IF(H736="x",1)+$I$16-$B$10+$M$94+IF($C$77="x",2)-IF($C$78="x",4)-IF($I$78="x",1)-IF($I$77="x",2)-IF($I$90="x",2)+IF($I$83="x",2)-IF($C$76="x",4)-$C$112+IF(H732="x",1)+I732+$M$77+IF(H734="x",1)+IF(J734="x",1)+IF($M$76="x",2)+J732+IF($M$85="x",1)+IF($M$113="x",1)+IF($M$120="x",2)+IF($M$119="x",2)+IF($M$105="x",1)+IF($M$110="x",1)+IF($M$111="x",2)+IF($M$112="x",4)+IF($M$108="x",1)-IF($M$109="x",1)-IF($M$99="x",1)+IF($M$90="x",1)
&amp;"/"&amp;SUM($C$3,$I$3)-12+IF(H736="x",1)+$I$16-$B$10+$M$94+IF($C$77="x",2)-IF($C$78="x",4)-IF($I$78="x",1)-IF($I$77="x",2)-IF($I$90="x",2)+IF($I$83="x",2)-IF($C$76="x",4)-$C$112+IF(H732="x",1)+I732+$M$77+IF(H734="x",1)+IF(J734="x",1)+IF($M$76="x",2)+J732+IF($M$85="x",1)+IF($M$113="x",1)+IF($M$120="x",2)+IF($M$119="x",2)+IF($M$105="x",1)+IF($M$110="x",1)+IF($M$111="x",2)+IF($M$112="x",4)+IF($M$108="x",1)-IF($M$109="x",1)-IF($M$99="x",1)+IF($M$90="x",1)-5
&amp;"/"&amp;SUM($C$3,$I$3)-12+IF(H736="x",1)+$I$16-$B$10+$M$94+IF($C$77="x",2)-IF($C$78="x",4)-IF($I$78="x",1)-IF($I$77="x",2)-IF($I$90="x",2)+IF($I$83="x",2)-IF($C$76="x",4)-$C$112+IF(H732="x",1)+I732+$M$77+IF(H734="x",1)+IF(J734="x",1)+IF($M$76="x",2)+J732+IF($M$85="x",1)+IF($M$113="x",1)+IF($M$120="x",2)+IF($M$119="x",2)+IF($M$105="x",1)+IF($M$110="x",1)+IF($M$111="x",2)+IF($M$112="x",4)+IF($M$108="x",1)-IF($M$109="x",1)-IF($M$99="x",1)+IF($M$90="x",1)-10,
$I$3&gt;=16,SUM($C$3,$I$3)-12+IF(H736="x",1)+$I$16-$B$10+$M$94+IF($C$77="x",2)-IF($C$78="x",4)-IF($I$78="x",1)-IF($I$77="x",2)-IF($I$90="x",2)+IF($I$83="x",2)-IF($C$76="x",4)-$C$112+IF(H732="x",1)+I732+$M$77+IF(H734="x",1)+IF(J734="x",1)+IF($M$76="x",2)+J732+IF($M$85="x",1)+IF($M$113="x",1)+IF($M$120="x",2)+IF($M$119="x",2)+IF($M$105="x",1)+IF($M$110="x",1)+IF($M$111="x",2)+IF($M$112="x",4)+IF($M$108="x",1)-IF($M$109="x",1)-IF($M$99="x",1)+IF($M$90="x",1)
&amp;"/"&amp;SUM($C$3,$I$3)-12+IF(H736="x",1)+$I$16-$B$10+$M$94+IF($C$77="x",2)-IF($C$78="x",4)-IF($I$78="x",1)-IF($I$77="x",2)-IF($I$90="x",2)+IF($I$83="x",2)-IF($C$76="x",4)-$C$112+IF(H732="x",1)+I732+$M$77+IF(H734="x",1)+IF(J734="x",1)+IF($M$76="x",2)+J732+IF($M$85="x",1)+IF($M$113="x",1)+IF($M$120="x",2)+IF($M$119="x",2)+IF($M$105="x",1)+IF($M$110="x",1)+IF($M$111="x",2)+IF($M$112="x",4)+IF($M$108="x",1)-IF($M$109="x",1)-IF($M$99="x",1)+IF($M$90="x",1)-5
&amp;"/"&amp;SUM($C$3,$I$3)-12+IF(H736="x",1)+$I$16-$B$10+$M$94+IF($C$77="x",2)-IF($C$78="x",4)-IF($I$78="x",1)-IF($I$77="x",2)-IF($I$90="x",2)+IF($I$83="x",2)-IF($C$76="x",4)-$C$112+IF(H732="x",1)+I732+$M$77+IF(H734="x",1)+IF(J734="x",1)+IF($M$76="x",2)+J732+IF($M$85="x",1)+IF($M$113="x",1)+IF($M$120="x",2)+IF($M$119="x",2)+IF($M$105="x",1)+IF($M$110="x",1)+IF($M$111="x",2)+IF($M$112="x",4)+IF($M$108="x",1)-IF($M$109="x",1)-IF($M$99="x",1)+IF($M$90="x",1)-10
&amp;"/"&amp;SUM($C$3,$I$3)-12+IF(H736="x",1)+$I$16-$B$10+$M$94+IF($C$77="x",2)-IF($C$78="x",4)-IF($I$78="x",1)-IF($I$77="x",2)-IF($I$90="x",2)+IF($I$83="x",2)-IF($C$76="x",4)-$C$112+IF(H732="x",1)+I732+$M$77+IF(H734="x",1)+IF(J734="x",1)+IF($M$76="x",2)+J732+IF($M$85="x",1)+IF($M$113="x",1)+IF($M$120="x",2)+IF($M$119="x",2)+IF($M$105="x",1)+IF($M$110="x",1)+IF($M$111="x",2)+IF($M$112="x",4)+IF($M$108="x",1)-IF($M$109="x",1)-IF($M$99="x",1)+IF($M$90="x",1)-15)</f>
        <v>-12</v>
      </c>
      <c r="C738" s="82"/>
      <c r="D738" s="121"/>
      <c r="E738" s="82"/>
      <c r="F738" s="82"/>
      <c r="G738" s="82"/>
      <c r="H738" s="82"/>
      <c r="J738" s="64"/>
      <c r="K738" s="64"/>
      <c r="AB738" s="59"/>
      <c r="AC738" s="51"/>
      <c r="AD738" s="49"/>
      <c r="AE738" s="51"/>
      <c r="AF738" s="49"/>
      <c r="AG738" s="49"/>
      <c r="AH738" s="49"/>
      <c r="AI738" s="40"/>
      <c r="AJ738" s="40"/>
      <c r="AL738" s="50"/>
    </row>
    <row r="739" spans="1:38" x14ac:dyDescent="0.2">
      <c r="A739" s="127">
        <f>A732*8</f>
        <v>480</v>
      </c>
      <c r="B739" s="123">
        <f>_xlfn.IFS($I$85="x","PAINISSA",
$I$3&lt;6,SUM($C$3,$I$3)-14+IF(H736="x",1)+$I$16-$B$10+$M$94+IF($C$77="x",2)-IF($C$78="x",4)-IF($I$78="x",1)-IF($I$77="x",2)-IF($I$90="x",2)+IF($I$83="x",2)-IF($C$76="x",4)-$C$112+IF(H732="x",1)+I732+$M$77+IF(H734="x",1)+IF(J734="x",1)+IF($M$76="x",2)+J732+IF($M$85="x",1)+IF($M$113="x",1)+IF($M$120="x",2)+IF($M$119="x",2)+IF($M$105="x",1)+IF($M$110="x",1)+IF($M$111="x",2)+IF($M$112="x",4)+IF($M$108="x",1)-IF($M$109="x",1)-IF($M$99="x",1)+IF($M$90="x",1),
$I$3&lt;11,SUM($C$3,$I$3)-14+IF(H736="x",1)+$I$16-$B$10+$M$94+IF($C$77="x",2)-IF($C$78="x",4)-IF($I$78="x",1)-IF($I$77="x",2)-IF($I$90="x",2)+IF($I$83="x",2)-IF($C$76="x",4)-$C$112+IF(H732="x",1)+I732+$M$77+IF(H734="x",1)+IF(J734="x",1)+IF($M$76="x",2)+J732+IF($M$85="x",1)+IF($M$113="x",1)+IF($M$120="x",2)+IF($M$119="x",2)+IF($M$105="x",1)+IF($M$110="x",1)+IF($M$111="x",2)+IF($M$112="x",4)+IF($M$108="x",1)-IF($M$109="x",1)-IF($M$99="x",1)+IF($M$90="x",1)
&amp;"/"&amp;SUM($C$3,$I$3)-14+IF(H736="x",1)+$I$16-$B$10+$M$94+IF($C$77="x",2)-IF($C$78="x",4)-IF($I$78="x",1)-IF($I$77="x",2)-IF($I$90="x",2)+IF($I$83="x",2)-IF($C$76="x",4)-$C$112+IF(H732="x",1)+I732+$M$77+IF(H734="x",1)+IF(J734="x",1)+IF($M$76="x",2)+J732+IF($M$85="x",1)+IF($M$113="x",1)+IF($M$120="x",2)+IF($M$119="x",2)+IF($M$105="x",1)+IF($M$110="x",1)+IF($M$111="x",2)+IF($M$112="x",4)+IF($M$108="x",1)-IF($M$109="x",1)-IF($M$99="x",1)+IF($M$90="x",1)-5,
$I$3&lt;16,SUM($C$3,$I$3)-14+IF(H736="x",1)+$I$16-$B$10+$M$94+IF($C$77="x",2)-IF($C$78="x",4)-IF($I$78="x",1)-IF($I$77="x",2)-IF($I$90="x",2)+IF($I$83="x",2)-IF($C$76="x",4)-$C$112+IF(H732="x",1)+I732+$M$77+IF(H734="x",1)+IF(J734="x",1)+IF($M$76="x",2)+J732+IF($M$85="x",1)+IF($M$113="x",1)+IF($M$120="x",2)+IF($M$119="x",2)+IF($M$105="x",1)+IF($M$110="x",1)+IF($M$111="x",2)+IF($M$112="x",4)+IF($M$108="x",1)-IF($M$109="x",1)-IF($M$99="x",1)+IF($M$90="x",1)
&amp;"/"&amp;SUM($C$3,$I$3)-14+IF(H736="x",1)+$I$16-$B$10+$M$94+IF($C$77="x",2)-IF($C$78="x",4)-IF($I$78="x",1)-IF($I$77="x",2)-IF($I$90="x",2)+IF($I$83="x",2)-IF($C$76="x",4)-$C$112+IF(H732="x",1)+I732+$M$77+IF(H734="x",1)+IF(J734="x",1)+IF($M$76="x",2)+J732+IF($M$85="x",1)+IF($M$113="x",1)+IF($M$120="x",2)+IF($M$119="x",2)+IF($M$105="x",1)+IF($M$110="x",1)+IF($M$111="x",2)+IF($M$112="x",4)+IF($M$108="x",1)-IF($M$109="x",1)-IF($M$99="x",1)+IF($M$90="x",1)-5
&amp;"/"&amp;SUM($C$3,$I$3)-14+IF(H736="x",1)+$I$16-$B$10+$M$94+IF($C$77="x",2)-IF($C$78="x",4)-IF($I$78="x",1)-IF($I$77="x",2)-IF($I$90="x",2)+IF($I$83="x",2)-IF($C$76="x",4)-$C$112+IF(H732="x",1)+I732+$M$77+IF(H734="x",1)+IF(J734="x",1)+IF($M$76="x",2)+J732+IF($M$85="x",1)+IF($M$113="x",1)+IF($M$120="x",2)+IF($M$119="x",2)+IF($M$105="x",1)+IF($M$110="x",1)+IF($M$111="x",2)+IF($M$112="x",4)+IF($M$108="x",1)-IF($M$109="x",1)-IF($M$99="x",1)+IF($M$90="x",1)-10,
$I$3&gt;=16,SUM($C$3,$I$3)-14+IF(H736="x",1)+$I$16-$B$10+$M$94+IF($C$77="x",2)-IF($C$78="x",4)-IF($I$78="x",1)-IF($I$77="x",2)-IF($I$90="x",2)+IF($I$83="x",2)-IF($C$76="x",4)-$C$112+IF(H732="x",1)+I732+$M$77+IF(H734="x",1)+IF(J734="x",1)+IF($M$76="x",2)+J732+IF($M$85="x",1)+IF($M$113="x",1)+IF($M$120="x",2)+IF($M$119="x",2)+IF($M$105="x",1)+IF($M$110="x",1)+IF($M$111="x",2)+IF($M$112="x",4)+IF($M$108="x",1)-IF($M$109="x",1)-IF($M$99="x",1)+IF($M$90="x",1)
&amp;"/"&amp;SUM($C$3,$I$3)-14+IF(H736="x",1)+$I$16-$B$10+$M$94+IF($C$77="x",2)-IF($C$78="x",4)-IF($I$78="x",1)-IF($I$77="x",2)-IF($I$90="x",2)+IF($I$83="x",2)-IF($C$76="x",4)-$C$112+IF(H732="x",1)+I732+$M$77+IF(H734="x",1)+IF(J734="x",1)+IF($M$76="x",2)+J732+IF($M$85="x",1)+IF($M$113="x",1)+IF($M$120="x",2)+IF($M$119="x",2)+IF($M$105="x",1)+IF($M$110="x",1)+IF($M$111="x",2)+IF($M$112="x",4)+IF($M$108="x",1)-IF($M$109="x",1)-IF($M$99="x",1)+IF($M$90="x",1)-5
&amp;"/"&amp;SUM($C$3,$I$3)-14+IF(H736="x",1)+$I$16-$B$10+$M$94+IF($C$77="x",2)-IF($C$78="x",4)-IF($I$78="x",1)-IF($I$77="x",2)-IF($I$90="x",2)+IF($I$83="x",2)-IF($C$76="x",4)-$C$112+IF(H732="x",1)+I732+$M$77+IF(H734="x",1)+IF(J734="x",1)+IF($M$76="x",2)+J732+IF($M$85="x",1)+IF($M$113="x",1)+IF($M$120="x",2)+IF($M$119="x",2)+IF($M$105="x",1)+IF($M$110="x",1)+IF($M$111="x",2)+IF($M$112="x",4)+IF($M$108="x",1)-IF($M$109="x",1)-IF($M$99="x",1)+IF($M$90="x",1)-10
&amp;"/"&amp;SUM($C$3,$I$3)-14+IF(H736="x",1)+$I$16-$B$10+$M$94+IF($C$77="x",2)-IF($C$78="x",4)-IF($I$78="x",1)-IF($I$77="x",2)-IF($I$90="x",2)+IF($I$83="x",2)-IF($C$76="x",4)-$C$112+IF(H732="x",1)+I732+$M$77+IF(H734="x",1)+IF(J734="x",1)+IF($M$76="x",2)+J732+IF($M$85="x",1)+IF($M$113="x",1)+IF($M$120="x",2)+IF($M$119="x",2)+IF($M$105="x",1)+IF($M$110="x",1)+IF($M$111="x",2)+IF($M$112="x",4)+IF($M$108="x",1)-IF($M$109="x",1)-IF($M$99="x",1)+IF($M$90="x",1)-15)</f>
        <v>-14</v>
      </c>
      <c r="C739" s="82"/>
      <c r="D739" s="121"/>
      <c r="E739" s="82"/>
      <c r="F739" s="82"/>
      <c r="G739" s="82"/>
      <c r="H739" s="82"/>
      <c r="I739" s="82"/>
      <c r="J739" s="64"/>
      <c r="K739" s="64"/>
      <c r="AB739" s="62"/>
      <c r="AC739" s="53"/>
      <c r="AD739" s="49"/>
      <c r="AE739" s="51"/>
      <c r="AF739" s="49"/>
      <c r="AG739" s="49"/>
      <c r="AH739" s="49"/>
      <c r="AI739" s="49"/>
      <c r="AJ739" s="50"/>
      <c r="AK739" s="65"/>
      <c r="AL739" s="65"/>
    </row>
    <row r="740" spans="1:38" x14ac:dyDescent="0.2">
      <c r="A740" s="126">
        <f>A732*9</f>
        <v>540</v>
      </c>
      <c r="B740" s="121">
        <f>_xlfn.IFS($I$85="x","PAINISSA",
$I$3&lt;6,SUM($C$3,$I$3)-16+IF(H736="x",1)+$I$16-$B$10+$M$94+IF($C$77="x",2)-IF($C$78="x",4)-IF($I$78="x",1)-IF($I$77="x",2)-IF($I$90="x",2)+IF($I$83="x",2)-IF($C$76="x",4)-$C$112+IF(H732="x",1)+I732+$M$77+IF(H734="x",1)+IF(J734="x",1)+IF($M$76="x",2)+J732+IF($M$85="x",1)+IF($M$113="x",1)+IF($M$120="x",2)+IF($M$119="x",2)+IF($M$105="x",1)+IF($M$110="x",1)+IF($M$111="x",2)+IF($M$112="x",4)+IF($M$108="x",1)-IF($M$109="x",1)-IF($M$99="x",1)+IF($M$90="x",1),
$I$3&lt;11,SUM($C$3,$I$3)-16+IF(H736="x",1)+$I$16-$B$10+$M$94+IF($C$77="x",2)-IF($C$78="x",4)-IF($I$78="x",1)-IF($I$77="x",2)-IF($I$90="x",2)+IF($I$83="x",2)-IF($C$76="x",4)-$C$112+IF(H732="x",1)+I732+$M$77+IF(H734="x",1)+IF(J734="x",1)+IF($M$76="x",2)+J732+IF($M$85="x",1)+IF($M$113="x",1)+IF($M$120="x",2)+IF($M$119="x",2)+IF($M$105="x",1)+IF($M$110="x",1)+IF($M$111="x",2)+IF($M$112="x",4)+IF($M$108="x",1)-IF($M$109="x",1)-IF($M$99="x",1)+IF($M$90="x",1)
&amp;"/"&amp;SUM($C$3,$I$3)-16+IF(H736="x",1)+$I$16-$B$10+$M$94+IF($C$77="x",2)-IF($C$78="x",4)-IF($I$78="x",1)-IF($I$77="x",2)-IF($I$90="x",2)+IF($I$83="x",2)-IF($C$76="x",4)-$C$112+IF(H732="x",1)+I732+$M$77+IF(H734="x",1)+IF(J734="x",1)+IF($M$76="x",2)+J732+IF($M$85="x",1)+IF($M$113="x",1)+IF($M$120="x",2)+IF($M$119="x",2)+IF($M$105="x",1)+IF($M$110="x",1)+IF($M$111="x",2)+IF($M$112="x",4)+IF($M$108="x",1)-IF($M$109="x",1)-IF($M$99="x",1)+IF($M$90="x",1)-5,
$I$3&lt;16,SUM($C$3,$I$3)-16+IF(H736="x",1)+$I$16-$B$10+$M$94+IF($C$77="x",2)-IF($C$78="x",4)-IF($I$78="x",1)-IF($I$77="x",2)-IF($I$90="x",2)+IF($I$83="x",2)-IF($C$76="x",4)-$C$112+IF(H732="x",1)+I732+$M$77+IF(H734="x",1)+IF(J734="x",1)+IF($M$76="x",2)+J732+IF($M$85="x",1)+IF($M$113="x",1)+IF($M$120="x",2)+IF($M$119="x",2)+IF($M$105="x",1)+IF($M$110="x",1)+IF($M$111="x",2)+IF($M$112="x",4)+IF($M$108="x",1)-IF($M$109="x",1)-IF($M$99="x",1)+IF($M$90="x",1)
&amp;"/"&amp;SUM($C$3,$I$3)-16+IF(H736="x",1)+$I$16-$B$10+$M$94+IF($C$77="x",2)-IF($C$78="x",4)-IF($I$78="x",1)-IF($I$77="x",2)-IF($I$90="x",2)+IF($I$83="x",2)-IF($C$76="x",4)-$C$112+IF(H732="x",1)+I732+$M$77+IF(H734="x",1)+IF(J734="x",1)+IF($M$76="x",2)+J732+IF($M$85="x",1)+IF($M$113="x",1)+IF($M$120="x",2)+IF($M$119="x",2)+IF($M$105="x",1)+IF($M$110="x",1)+IF($M$111="x",2)+IF($M$112="x",4)+IF($M$108="x",1)-IF($M$109="x",1)-IF($M$99="x",1)+IF($M$90="x",1)-5
&amp;"/"&amp;SUM($C$3,$I$3)-16+IF(H736="x",1)+$I$16-$B$10+$M$94+IF($C$77="x",2)-IF($C$78="x",4)-IF($I$78="x",1)-IF($I$77="x",2)-IF($I$90="x",2)+IF($I$83="x",2)-IF($C$76="x",4)-$C$112+IF(H732="x",1)+I732+$M$77+IF(H734="x",1)+IF(J734="x",1)+IF($M$76="x",2)+J732+IF($M$85="x",1)+IF($M$113="x",1)+IF($M$120="x",2)+IF($M$119="x",2)+IF($M$105="x",1)+IF($M$110="x",1)+IF($M$111="x",2)+IF($M$112="x",4)+IF($M$108="x",1)-IF($M$109="x",1)-IF($M$99="x",1)+IF($M$90="x",1)-10,
$I$3&gt;=16,SUM($C$3,$I$3)-16+IF(H736="x",1)+$I$16-$B$10+$M$94+IF($C$77="x",2)-IF($C$78="x",4)-IF($I$78="x",1)-IF($I$77="x",2)-IF($I$90="x",2)+IF($I$83="x",2)-IF($C$76="x",4)-$C$112+IF(H732="x",1)+I732+$M$77+IF(H734="x",1)+IF(J734="x",1)+IF($M$76="x",2)+J732+IF($M$85="x",1)+IF($M$113="x",1)+IF($M$120="x",2)+IF($M$119="x",2)+IF($M$105="x",1)+IF($M$110="x",1)+IF($M$111="x",2)+IF($M$112="x",4)+IF($M$108="x",1)-IF($M$109="x",1)-IF($M$99="x",1)+IF($M$90="x",1)
&amp;"/"&amp;SUM($C$3,$I$3)-16+IF(H736="x",1)+$I$16-$B$10+$M$94+IF($C$77="x",2)-IF($C$78="x",4)-IF($I$78="x",1)-IF($I$77="x",2)-IF($I$90="x",2)+IF($I$83="x",2)-IF($C$76="x",4)-$C$112+IF(H732="x",1)+I732+$M$77+IF(H734="x",1)+IF(J734="x",1)+IF($M$76="x",2)+J732+IF($M$85="x",1)+IF($M$113="x",1)+IF($M$120="x",2)+IF($M$119="x",2)+IF($M$105="x",1)+IF($M$110="x",1)+IF($M$111="x",2)+IF($M$112="x",4)+IF($M$108="x",1)-IF($M$109="x",1)-IF($M$99="x",1)+IF($M$90="x",1)-5
&amp;"/"&amp;SUM($C$3,$I$3)-16+IF(H736="x",1)+$I$16-$B$10+$M$94+IF($C$77="x",2)-IF($C$78="x",4)-IF($I$78="x",1)-IF($I$77="x",2)-IF($I$90="x",2)+IF($I$83="x",2)-IF($C$76="x",4)-$C$112+IF(H732="x",1)+I732+$M$77+IF(H734="x",1)+IF(J734="x",1)+IF($M$76="x",2)+J732+IF($M$85="x",1)+IF($M$113="x",1)+IF($M$120="x",2)+IF($M$119="x",2)+IF($M$105="x",1)+IF($M$110="x",1)+IF($M$111="x",2)+IF($M$112="x",4)+IF($M$108="x",1)-IF($M$109="x",1)-IF($M$99="x",1)+IF($M$90="x",1)-10
&amp;"/"&amp;SUM($C$3,$I$3)-16+IF(H736="x",1)+$I$16-$B$10+$M$94+IF($C$77="x",2)-IF($C$78="x",4)-IF($I$78="x",1)-IF($I$77="x",2)-IF($I$90="x",2)+IF($I$83="x",2)-IF($C$76="x",4)-$C$112+IF(H732="x",1)+I732+$M$77+IF(H734="x",1)+IF(J734="x",1)+IF($M$76="x",2)+J732+IF($M$85="x",1)+IF($M$113="x",1)+IF($M$120="x",2)+IF($M$119="x",2)+IF($M$105="x",1)+IF($M$110="x",1)+IF($M$111="x",2)+IF($M$112="x",4)+IF($M$108="x",1)-IF($M$109="x",1)-IF($M$99="x",1)+IF($M$90="x",1)-15)</f>
        <v>-16</v>
      </c>
      <c r="C740" s="82"/>
      <c r="D740" s="121"/>
      <c r="E740" s="82"/>
      <c r="F740" s="82"/>
      <c r="G740" s="82"/>
      <c r="H740" s="82"/>
      <c r="I740" s="155"/>
      <c r="AB740" s="59"/>
      <c r="AC740" s="51"/>
      <c r="AD740" s="49"/>
      <c r="AE740" s="51"/>
      <c r="AF740" s="49"/>
      <c r="AG740" s="49"/>
      <c r="AH740" s="49"/>
      <c r="AI740" s="49"/>
      <c r="AJ740" s="40"/>
      <c r="AK740" s="65"/>
      <c r="AL740" s="65"/>
    </row>
    <row r="741" spans="1:38" x14ac:dyDescent="0.2">
      <c r="A741" s="127">
        <f>A732*10</f>
        <v>600</v>
      </c>
      <c r="B741" s="123">
        <f>_xlfn.IFS($I$85="x","PAINISSA",
$I$3&lt;6,SUM($C$3,$I$3)-18+IF(H736="x",1)+$I$16-$B$10+$M$94+IF($C$77="x",2)-IF($C$78="x",4)-IF($I$78="x",1)-IF($I$77="x",2)-IF($I$90="x",2)+IF($I$83="x",2)-IF($C$76="x",4)-$C$112+IF(H732="x",1)+I732+$M$77+IF(H734="x",1)+IF(J734="x",1)+IF($M$76="x",2)+J732+IF($M$85="x",1)+IF($M$113="x",1)+IF($M$120="x",2)+IF($M$119="x",2)+IF($M$105="x",1)+IF($M$110="x",1)+IF($M$111="x",2)+IF($M$112="x",4)+IF($M$108="x",1)-IF($M$109="x",1)-IF($M$99="x",1)+IF($M$90="x",1),
$I$3&lt;11,SUM($C$3,$I$3)-18+IF(H736="x",1)+$I$16-$B$10+$M$94+IF($C$77="x",2)-IF($C$78="x",4)-IF($I$78="x",1)-IF($I$77="x",2)-IF($I$90="x",2)+IF($I$83="x",2)-IF($C$76="x",4)-$C$112+IF(H732="x",1)+I732+$M$77+IF(H734="x",1)+IF(J734="x",1)+IF($M$76="x",2)+J732+IF($M$85="x",1)+IF($M$113="x",1)+IF($M$120="x",2)+IF($M$119="x",2)+IF($M$105="x",1)+IF($M$110="x",1)+IF($M$111="x",2)+IF($M$112="x",4)+IF($M$108="x",1)-IF($M$109="x",1)-IF($M$99="x",1)+IF($M$90="x",1)
&amp;"/"&amp;SUM($C$3,$I$3)-18+IF(H736="x",1)+$I$16-$B$10+$M$94+IF($C$77="x",2)-IF($C$78="x",4)-IF($I$78="x",1)-IF($I$77="x",2)-IF($I$90="x",2)+IF($I$83="x",2)-IF($C$76="x",4)-$C$112+IF(H732="x",1)+I732+$M$77+IF(H734="x",1)+IF(J734="x",1)+IF($M$76="x",2)+J732+IF($M$85="x",1)+IF($M$113="x",1)+IF($M$120="x",2)+IF($M$119="x",2)+IF($M$105="x",1)+IF($M$110="x",1)+IF($M$111="x",2)+IF($M$112="x",4)+IF($M$108="x",1)-IF($M$109="x",1)-IF($M$99="x",1)+IF($M$90="x",1)-5,
$I$3&lt;16,SUM($C$3,$I$3)-18+IF(H736="x",1)+$I$16-$B$10+$M$94+IF($C$77="x",2)-IF($C$78="x",4)-IF($I$78="x",1)-IF($I$77="x",2)-IF($I$90="x",2)+IF($I$83="x",2)-IF($C$76="x",4)-$C$112+IF(H732="x",1)+I732+$M$77+IF(H734="x",1)+IF(J734="x",1)+IF($M$76="x",2)+J732+IF($M$85="x",1)+IF($M$113="x",1)+IF($M$120="x",2)+IF($M$119="x",2)+IF($M$105="x",1)+IF($M$110="x",1)+IF($M$111="x",2)+IF($M$112="x",4)+IF($M$108="x",1)-IF($M$109="x",1)-IF($M$99="x",1)+IF($M$90="x",1)
&amp;"/"&amp;SUM($C$3,$I$3)-18+IF(H736="x",1)+$I$16-$B$10+$M$94+IF($C$77="x",2)-IF($C$78="x",4)-IF($I$78="x",1)-IF($I$77="x",2)-IF($I$90="x",2)+IF($I$83="x",2)-IF($C$76="x",4)-$C$112+IF(H732="x",1)+I732+$M$77+IF(H734="x",1)+IF(J734="x",1)+IF($M$76="x",2)+J732+IF($M$85="x",1)+IF($M$113="x",1)+IF($M$120="x",2)+IF($M$119="x",2)+IF($M$105="x",1)+IF($M$110="x",1)+IF($M$111="x",2)+IF($M$112="x",4)+IF($M$108="x",1)-IF($M$109="x",1)-IF($M$99="x",1)+IF($M$90="x",1)-5
&amp;"/"&amp;SUM($C$3,$I$3)-18+IF(H736="x",1)+$I$16-$B$10+$M$94+IF($C$77="x",2)-IF($C$78="x",4)-IF($I$78="x",1)-IF($I$77="x",2)-IF($I$90="x",2)+IF($I$83="x",2)-IF($C$76="x",4)-$C$112+IF(H732="x",1)+I732+$M$77+IF(H734="x",1)+IF(J734="x",1)+IF($M$76="x",2)+J732+IF($M$85="x",1)+IF($M$113="x",1)+IF($M$120="x",2)+IF($M$119="x",2)+IF($M$105="x",1)+IF($M$110="x",1)+IF($M$111="x",2)+IF($M$112="x",4)+IF($M$108="x",1)-IF($M$109="x",1)-IF($M$99="x",1)+IF($M$90="x",1)-10,
$I$3&gt;=16,SUM($C$3,$I$3)-18+IF(H736="x",1)+$I$16-$B$10+$M$94+IF($C$77="x",2)-IF($C$78="x",4)-IF($I$78="x",1)-IF($I$77="x",2)-IF($I$90="x",2)+IF($I$83="x",2)-IF($C$76="x",4)-$C$112+IF(H732="x",1)+I732+$M$77+IF(H734="x",1)+IF(J734="x",1)+IF($M$76="x",2)+J732+IF($M$85="x",1)+IF($M$113="x",1)+IF($M$120="x",2)+IF($M$119="x",2)+IF($M$105="x",1)+IF($M$110="x",1)+IF($M$111="x",2)+IF($M$112="x",4)+IF($M$108="x",1)-IF($M$109="x",1)-IF($M$99="x",1)+IF($M$90="x",1)
&amp;"/"&amp;SUM($C$3,$I$3)-18+IF(H736="x",1)+$I$16-$B$10+$M$94+IF($C$77="x",2)-IF($C$78="x",4)-IF($I$78="x",1)-IF($I$77="x",2)-IF($I$90="x",2)+IF($I$83="x",2)-IF($C$76="x",4)-$C$112+IF(H732="x",1)+I732+$M$77+IF(H734="x",1)+IF(J734="x",1)+IF($M$76="x",2)+J732+IF($M$85="x",1)+IF($M$113="x",1)+IF($M$120="x",2)+IF($M$119="x",2)+IF($M$105="x",1)+IF($M$110="x",1)+IF($M$111="x",2)+IF($M$112="x",4)+IF($M$108="x",1)-IF($M$109="x",1)-IF($M$99="x",1)+IF($M$90="x",1)-5
&amp;"/"&amp;SUM($C$3,$I$3)-18+IF(H736="x",1)+$I$16-$B$10+$M$94+IF($C$77="x",2)-IF($C$78="x",4)-IF($I$78="x",1)-IF($I$77="x",2)-IF($I$90="x",2)+IF($I$83="x",2)-IF($C$76="x",4)-$C$112+IF(H732="x",1)+I732+$M$77+IF(H734="x",1)+IF(J734="x",1)+IF($M$76="x",2)+J732+IF($M$85="x",1)+IF($M$113="x",1)+IF($M$120="x",2)+IF($M$119="x",2)+IF($M$105="x",1)+IF($M$110="x",1)+IF($M$111="x",2)+IF($M$112="x",4)+IF($M$108="x",1)-IF($M$109="x",1)-IF($M$99="x",1)+IF($M$90="x",1)-10
&amp;"/"&amp;SUM($C$3,$I$3)-18+IF(H736="x",1)+$I$16-$B$10+$M$94+IF($C$77="x",2)-IF($C$78="x",4)-IF($I$78="x",1)-IF($I$77="x",2)-IF($I$90="x",2)+IF($I$83="x",2)-IF($C$76="x",4)-$C$112+IF(H732="x",1)+I732+$M$77+IF(H734="x",1)+IF(J734="x",1)+IF($M$76="x",2)+J732+IF($M$85="x",1)+IF($M$113="x",1)+IF($M$120="x",2)+IF($M$119="x",2)+IF($M$105="x",1)+IF($M$110="x",1)+IF($M$111="x",2)+IF($M$112="x",4)+IF($M$108="x",1)-IF($M$109="x",1)-IF($M$99="x",1)+IF($M$90="x",1)-15)</f>
        <v>-18</v>
      </c>
      <c r="C741" s="82"/>
      <c r="D741" s="121"/>
      <c r="E741" s="82"/>
      <c r="I741" s="155"/>
      <c r="J741" s="25"/>
      <c r="K741" s="25"/>
      <c r="AB741" s="62"/>
      <c r="AC741" s="53"/>
      <c r="AD741" s="49"/>
      <c r="AE741" s="51"/>
      <c r="AF741" s="49"/>
      <c r="AG741" s="49"/>
      <c r="AH741" s="49"/>
      <c r="AI741" s="49"/>
      <c r="AJ741" s="49"/>
      <c r="AK741" s="65"/>
      <c r="AL741" s="65"/>
    </row>
    <row r="742" spans="1:38" x14ac:dyDescent="0.2">
      <c r="A742" s="45"/>
      <c r="B742" s="45"/>
      <c r="C742" s="45"/>
      <c r="D742" s="45"/>
      <c r="E742" s="45"/>
      <c r="F742" s="45"/>
      <c r="G742" s="45"/>
      <c r="H742" s="45"/>
      <c r="I742" s="45"/>
      <c r="J742" s="45"/>
      <c r="K742" s="45"/>
      <c r="AB742" s="59"/>
      <c r="AC742" s="51"/>
      <c r="AD742" s="49"/>
      <c r="AE742" s="51"/>
      <c r="AF742" s="49"/>
      <c r="AG742" s="49"/>
      <c r="AH742" s="49"/>
      <c r="AI742" s="49"/>
      <c r="AJ742" s="67"/>
    </row>
    <row r="743" spans="1:38" x14ac:dyDescent="0.2">
      <c r="A743" s="46"/>
      <c r="B743" s="48"/>
      <c r="C743" s="48"/>
      <c r="D743" s="48"/>
      <c r="E743" s="48"/>
      <c r="F743" s="48"/>
      <c r="G743" s="48"/>
      <c r="H743" s="48"/>
      <c r="I743" s="48"/>
      <c r="J743" s="48"/>
      <c r="K743" s="48"/>
      <c r="AB743" s="62"/>
      <c r="AC743" s="53"/>
      <c r="AD743" s="49"/>
      <c r="AE743" s="51"/>
      <c r="AF743" s="49"/>
      <c r="AG743" s="40"/>
      <c r="AH743" s="40"/>
      <c r="AI743" s="40"/>
      <c r="AJ743" s="67"/>
      <c r="AK743" s="50"/>
      <c r="AL743" s="50"/>
    </row>
    <row r="744" spans="1:38" x14ac:dyDescent="0.2">
      <c r="A744" s="34" t="s">
        <v>270</v>
      </c>
      <c r="B744" s="11" t="s">
        <v>1</v>
      </c>
      <c r="C744" s="11" t="s">
        <v>2</v>
      </c>
      <c r="D744" s="11" t="s">
        <v>3</v>
      </c>
      <c r="E744" s="11" t="s">
        <v>229</v>
      </c>
      <c r="F744" s="11" t="s">
        <v>3</v>
      </c>
      <c r="G744" s="11" t="s">
        <v>45</v>
      </c>
      <c r="H744" s="14" t="s">
        <v>179</v>
      </c>
      <c r="I744" s="11" t="s">
        <v>242</v>
      </c>
      <c r="J744" s="11" t="s">
        <v>224</v>
      </c>
      <c r="K744" s="11" t="s">
        <v>225</v>
      </c>
    </row>
    <row r="745" spans="1:38" x14ac:dyDescent="0.2">
      <c r="A745" s="126">
        <f>IF($C$98="x",30*1.5,30)</f>
        <v>30</v>
      </c>
      <c r="B745" s="121">
        <f>_xlfn.IFS($I$85="x","PAINISSA",
I749="x",SUM($C$3,$I$3)+IF(H749="x",1)+$I$16-$B$10+$M$94+IF($C$77="x",2)-IF($C$78="x",4)-IF($I$78="x",1)-IF($I$77="x",2)-IF($I$90="x",2)+IF($I$83="x",2)-IF($C$76="x",4)-$C$112+IF(H706="x",1)+I706+$M$77+IF(H708="x",1)+IF(J708="x",1)+IF($M$76="x",2)+J706+IF($M$85="x",1)+IF($M$113="x",1)+IF($M$120="x",2)+IF($M$119="x",2)+IF($M$105="x",1)+IF($M$110="x",1)+IF($M$111="x",2)+IF($M$112="x",4)+IF($M$108="x",1)-IF($M$109="x",1)-IF($M$99="x",1)+IF($M$90="x",1)-2,
J749="x",SUM($C$3,$I$3)+IF(H749="x",1)+$I$16-$B$10+$M$94+IF($C$77="x",2)-IF($C$78="x",4)-IF($I$78="x",1)-IF($I$77="x",2)-IF($I$90="x",2)+IF($I$83="x",2)-IF($C$76="x",4)-$C$112+IF(H706="x",1)+I706+$M$77+IF(H708="x",1)+IF(J708="x",1)+IF($M$76="x",2)+J706+IF($M$85="x",1)+IF($M$113="x",1)+IF($M$120="x",2)+IF($M$119="x",2)+IF($M$105="x",1)+IF($M$110="x",1)+IF($M$111="x",2)+IF($M$112="x",4)+IF($M$108="x",1)-IF($M$109="x",1)-IF($M$99="x",1)+IF($M$90="x",1)-IF($C$97="x",2,4)
&amp;"/"&amp;SUM($C$3,$I$3)+IF(H749="x",1)+$I$16-$B$10+$M$94+IF($C$77="x",2)-IF($C$78="x",4)-IF($I$78="x",1)-IF($I$77="x",2)-IF($I$90="x",2)+IF($I$83="x",2)-IF($C$76="x",4)-$C$112+IF(H706="x",1)+I706+$M$77+IF(H708="x",1)+IF(J708="x",1)+IF($M$76="x",2)+J706+IF($M$85="x",1)+IF($M$113="x",1)+IF($M$120="x",2)+IF($M$119="x",2)+IF($M$105="x",1)+IF($M$110="x",1)+IF($M$111="x",2)+IF($M$112="x",4)+IF($M$108="x",1)-IF($M$109="x",1)-IF($M$99="x",1)+IF($M$90="x",1)-IF($C$97="x",2,8),
$C$105&lt;&gt;"x",SUM($C$3,$I$3)+IF(H749="x",1)+$I$16-$B$10+$M$94+IF($C$77="x",2)-IF($C$78="x",4)-IF($I$78="x",1)-IF($I$77="x",2)-IF($I$90="x",2)+IF($I$83="x",2)-IF($C$76="x",4)-$C$112+IF(H706="x",1)+I706+$M$77+IF(H708="x",1)+IF(J708="x",1)+IF($M$76="x",2)+J706+IF($M$85="x",1)+IF($M$113="x",1)+IF($M$120="x",2)+IF($M$119="x",2)+IF($M$105="x",1)+IF($M$110="x",1)+IF($M$111="x",2)+IF($M$112="x",4)+IF($M$108="x",1)-IF($M$109="x",1)-IF($M$99="x",1)+IF($M$90="x",1),
$I$3&lt;6,SUM($C$3,$I$3)+IF(H749="x",1)+$I$16-$B$10+$M$94+IF($C$77="x",2)-IF($C$78="x",4)-IF($I$78="x",1)-IF($I$77="x",2)-IF($I$90="x",2)+IF($I$83="x",2)-IF($C$76="x",4)-$C$112+IF(H706="x",1)+I706+$M$77+IF(H708="x",1)+IF(J708="x",1)+IF($M$76="x",2)+J706+IF($M$85="x",1)+IF($M$113="x",1)+IF($M$120="x",2)+IF($M$119="x",2)+IF($M$105="x",1)+IF($M$110="x",1)+IF($M$111="x",2)+IF($M$112="x",4)+IF($M$108="x",1)-IF($M$109="x",1)-IF($M$99="x",1)+IF($M$90="x",1),
$I$3&lt;11,SUM($C$3,$I$3)+IF(H749="x",1)+$I$16-$B$10+$M$94+IF($C$77="x",2)-IF($C$78="x",4)-IF($I$78="x",1)-IF($I$77="x",2)-IF($I$90="x",2)+IF($I$83="x",2)-IF($C$76="x",4)-$C$112+IF(H706="x",1)+I706+$M$77+IF(H708="x",1)+IF(J708="x",1)+IF($M$76="x",2)+J706+IF($M$85="x",1)+IF($M$113="x",1)+IF($M$120="x",2)+IF($M$119="x",2)+IF($M$105="x",1)+IF($M$110="x",1)+IF($M$111="x",2)+IF($M$112="x",4)+IF($M$108="x",1)-IF($M$109="x",1)-IF($M$99="x",1)+IF($M$90="x",1)
&amp;"/"&amp;SUM($C$3,$I$3)+IF(H749="x",1)+$I$16-$B$10+$M$94+IF($C$77="x",2)-IF($C$78="x",4)-IF($I$78="x",1)-IF($I$77="x",2)-IF($I$90="x",2)+IF($I$83="x",2)-IF($C$76="x",4)-$C$112+IF(H706="x",1)+I706+$M$77+IF(H708="x",1)+IF(J708="x",1)+IF($M$76="x",2)+J706+IF($M$85="x",1)+IF($M$113="x",1)+IF($M$120="x",2)+IF($M$119="x",2)+IF($M$105="x",1)+IF($M$110="x",1)+IF($M$111="x",2)+IF($M$112="x",4)+IF($M$108="x",1)-IF($M$109="x",1)-IF($M$99="x",1)+IF($M$90="x",1)-5,
$I$3&lt;16,SUM($C$3,$I$3)+IF(H749="x",1)+$I$16-$B$10+$M$94+IF($C$77="x",2)-IF($C$78="x",4)-IF($I$78="x",1)-IF($I$77="x",2)-IF($I$90="x",2)+IF($I$83="x",2)-IF($C$76="x",4)-$C$112+IF(H706="x",1)+I706+$M$77+IF(H708="x",1)+IF(J708="x",1)+IF($M$76="x",2)+J706+IF($M$85="x",1)+IF($M$113="x",1)+IF($M$120="x",2)+IF($M$119="x",2)+IF($M$105="x",1)+IF($M$110="x",1)+IF($M$111="x",2)+IF($M$112="x",4)+IF($M$108="x",1)-IF($M$109="x",1)-IF($M$99="x",1)+IF($M$90="x",1)
&amp;"/"&amp;SUM($C$3,$I$3)+IF(H749="x",1)+$I$16-$B$10+$M$94+IF($C$77="x",2)-IF($C$78="x",4)-IF($I$78="x",1)-IF($I$77="x",2)-IF($I$90="x",2)+IF($I$83="x",2)-IF($C$76="x",4)-$C$112+IF(H706="x",1)+I706+$M$77+IF(H708="x",1)+IF(J708="x",1)+IF($M$76="x",2)+J706+IF($M$85="x",1)+IF($M$113="x",1)+IF($M$120="x",2)+IF($M$119="x",2)+IF($M$105="x",1)+IF($M$110="x",1)+IF($M$111="x",2)+IF($M$112="x",4)+IF($M$108="x",1)-IF($M$109="x",1)-IF($M$99="x",1)+IF($M$90="x",1)-5
&amp;"/"&amp;SUM($C$3,$I$3)+IF(H749="x",1)+$I$16-$B$10+$M$94+IF($C$77="x",2)-IF($C$78="x",4)-IF($I$78="x",1)-IF($I$77="x",2)-IF($I$90="x",2)+IF($I$83="x",2)-IF($C$76="x",4)-$C$112+IF(H706="x",1)+I706+$M$77+IF(H708="x",1)+IF(J708="x",1)+IF($M$76="x",2)+J706+IF($M$85="x",1)+IF($M$113="x",1)+IF($M$120="x",2)+IF($M$119="x",2)+IF($M$105="x",1)+IF($M$110="x",1)+IF($M$111="x",2)+IF($M$112="x",4)+IF($M$108="x",1)-IF($M$109="x",1)-IF($M$99="x",1)+IF($M$90="x",1)-10,
$I$3&gt;=16,SUM($C$3,$I$3)+IF(H749="x",1)+$I$16-$B$10+$M$94+IF($C$77="x",2)-IF($C$78="x",4)-IF($I$78="x",1)-IF($I$77="x",2)-IF($I$90="x",2)+IF($I$83="x",2)-IF($C$76="x",4)-$C$112+IF(H706="x",1)+I706+$M$77+IF(H708="x",1)+IF(J708="x",1)+IF($M$76="x",2)+J706+IF($M$85="x",1)+IF($M$113="x",1)+IF($M$120="x",2)+IF($M$119="x",2)+IF($M$105="x",1)+IF($M$110="x",1)+IF($M$111="x",2)+IF($M$112="x",4)+IF($M$108="x",1)-IF($M$109="x",1)-IF($M$99="x",1)+IF($M$90="x",1)
&amp;"/"&amp;SUM($C$3,$I$3)+IF(H749="x",1)+$I$16-$B$10+$M$94+IF($C$77="x",2)-IF($C$78="x",4)-IF($I$78="x",1)-IF($I$77="x",2)-IF($I$90="x",2)+IF($I$83="x",2)-IF($C$76="x",4)-$C$112+IF(H706="x",1)+I706+$M$77+IF(H708="x",1)+IF(J708="x",1)+IF($M$76="x",2)+J706+IF($M$85="x",1)+IF($M$113="x",1)+IF($M$120="x",2)+IF($M$119="x",2)+IF($M$105="x",1)+IF($M$110="x",1)+IF($M$111="x",2)+IF($M$112="x",4)+IF($M$108="x",1)-IF($M$109="x",1)-IF($M$99="x",1)+IF($M$90="x",1)-5
&amp;"/"&amp;SUM($C$3,$I$3)+IF(H749="x",1)+$I$16-$B$10+$M$94+IF($C$77="x",2)-IF($C$78="x",4)-IF($I$78="x",1)-IF($I$77="x",2)-IF($I$90="x",2)+IF($I$83="x",2)-IF($C$76="x",4)-$C$112+IF(H706="x",1)+I706+$M$77+IF(H708="x",1)+IF(J708="x",1)+IF($M$76="x",2)+J706+IF($M$85="x",1)+IF($M$113="x",1)+IF($M$120="x",2)+IF($M$119="x",2)+IF($M$105="x",1)+IF($M$110="x",1)+IF($M$111="x",2)+IF($M$112="x",4)+IF($M$108="x",1)-IF($M$109="x",1)-IF($M$99="x",1)+IF($M$90="x",1)-10
&amp;"/"&amp;SUM($C$3,$I$3)+IF(H749="x",1)+$I$16-$B$10+$M$94+IF($C$77="x",2)-IF($C$78="x",4)-IF($I$78="x",1)-IF($I$77="x",2)-IF($I$90="x",2)+IF($I$83="x",2)-IF($C$76="x",4)-$C$112+IF(H706="x",1)+I706+$M$77+IF(H708="x",1)+IF(J708="x",1)+IF($M$76="x",2)+J706+IF($M$85="x",1)+IF($M$113="x",1)+IF($M$120="x",2)+IF($M$119="x",2)+IF($M$105="x",1)+IF($M$110="x",1)+IF($M$111="x",2)+IF($M$112="x",4)+IF($M$108="x",1)-IF($M$109="x",1)-IF($M$99="x",1)+IF($M$90="x",1)-15)</f>
        <v>0</v>
      </c>
      <c r="C745" s="49" t="str">
        <f>_xlfn.IFS($C$7="Minimaalinen","–",$C$7="Taskukokoinen","1",$C$7="Hyvin pieni","1n2",$C$7="Pieni","1n3",$C$7="Keskikokoinen","1n4",$C$7="Iso","1n6",$C$7="Valtava","1n8",$C$7="Suunnaton","2n6",$C$7="Giganttinen","3n6")</f>
        <v>1n4</v>
      </c>
      <c r="D745" s="51">
        <f>IF(H749="x",1,0)+IF(I747="x",2)+IF(K747="x",2)+I745+K745</f>
        <v>0</v>
      </c>
      <c r="E745" s="49" t="str">
        <f>_xlfn.IFS($C$7="Minimaalinen","–",$C$7="Taskukokoinen","2",$C$7="Hyvin pieni","2n2",$C$7="Pieni","2n3",$C$7="Keskikokoinen","2n4",$C$7="Iso","2n6",$C$7="Valtava","2n8",$C$7="Suunnaton","4n6",$C$7="Giganttinen","6n6")</f>
        <v>2n4</v>
      </c>
      <c r="F745" s="82">
        <f>SUM(D745*2)</f>
        <v>0</v>
      </c>
      <c r="G745" s="82" t="str">
        <f>(IF($I$89="x","50 %","")&amp;(IF($C$81="x","20 %",""))&amp;(IF($C$82="x","50 %",""&amp;IF($M$91="x","50 % (5 j 20 %)",""&amp;IF($M$115="x","50 % (5 j 20 %)","")))))</f>
        <v/>
      </c>
      <c r="H745" s="28"/>
      <c r="I745" s="17">
        <v>0</v>
      </c>
      <c r="J745" s="17">
        <v>0</v>
      </c>
      <c r="K745" s="17">
        <v>0</v>
      </c>
      <c r="AB745" s="46"/>
      <c r="AC745" s="48"/>
      <c r="AD745" s="48"/>
      <c r="AE745" s="48"/>
      <c r="AF745" s="48"/>
      <c r="AG745" s="48"/>
      <c r="AH745" s="48"/>
      <c r="AI745" s="48"/>
      <c r="AJ745" s="48"/>
      <c r="AK745" s="48"/>
    </row>
    <row r="746" spans="1:38" x14ac:dyDescent="0.2">
      <c r="A746" s="127">
        <f>A745*2</f>
        <v>60</v>
      </c>
      <c r="B746" s="123">
        <f>_xlfn.IFS($I$85="x","PAINISSA",
I749="x",SUM($C$3,$I$3)+IF(H749="x",1)+$I$16-$B$10+$M$94+IF($C$77="x",2)-IF($C$78="x",4)-IF($I$78="x",1)-IF($I$77="x",2)-IF($I$90="x",2)+IF($I$83="x",2)-IF($C$76="x",4)-$C$112+IF(H706="x",1)+I706+$M$77+IF(H708="x",1)+IF(J708="x",1)+IF($M$76="x",2)+J706+IF($M$85="x",1)+IF($M$113="x",1)+IF($M$120="x",2)+IF($M$119="x",2)+IF($M$105="x",1)+IF($M$110="x",1)+IF($M$111="x",2)+IF($M$112="x",4)+IF($M$108="x",1)-IF($M$109="x",1)-IF($M$99="x",1)+IF($M$90="x",1)-2-2,
J749="x",SUM($C$3,$I$3)+IF(H749="x",1)+$I$16-$B$10+$M$94+IF($C$77="x",2)-IF($C$78="x",4)-IF($I$78="x",1)-IF($I$77="x",2)-IF($I$90="x",2)+IF($I$83="x",2)-IF($C$76="x",4)-$C$112+IF(H706="x",1)+I706+$M$77+IF(H708="x",1)+IF(J708="x",1)+IF($M$76="x",2)+J706+IF($M$85="x",1)+IF($M$113="x",1)+IF($M$120="x",2)+IF($M$119="x",2)+IF($M$105="x",1)+IF($M$110="x",1)+IF($M$111="x",2)+IF($M$112="x",4)+IF($M$108="x",1)-IF($M$109="x",1)-IF($M$99="x",1)+IF($M$90="x",1)-IF($C$97="x",2,4)-2
&amp;"/"&amp;SUM($C$3,$I$3)+IF(H749="x",1)+$I$16-$B$10+$M$94+IF($C$77="x",2)-IF($C$78="x",4)-IF($I$78="x",1)-IF($I$77="x",2)-IF($I$90="x",2)+IF($I$83="x",2)-IF($C$76="x",4)-$C$112+IF(H706="x",1)+I706+$M$77+IF(H708="x",1)+IF(J708="x",1)+IF($M$76="x",2)+J706+IF($M$85="x",1)+IF($M$113="x",1)+IF($M$120="x",2)+IF($M$119="x",2)+IF($M$105="x",1)+IF($M$110="x",1)+IF($M$111="x",2)+IF($M$112="x",4)+IF($M$108="x",1)-IF($M$109="x",1)-IF($M$99="x",1)+IF($M$90="x",1)-IF($C$97="x",2,8)-2,
$C$105&lt;&gt;"x",SUM($C$3,$I$3)+IF(H749="x",1)-2+$I$16-$B$10+$M$94+IF($C$77="x",2)-IF($C$78="x",4)-IF($I$78="x",1)-IF($I$77="x",2)-IF($I$90="x",2)+IF($I$83="x",2)-IF($C$76="x",4)-$C$112+IF(H706="x",1)+I706+$M$77+IF(H708="x",1)+IF(J708="x",1)+IF($M$76="x",2)+J706+IF($M$85="x",1)+IF($M$113="x",1)+IF($M$120="x",2)+IF($M$119="x",2)+IF($M$105="x",1)+IF($M$110="x",1)+IF($M$111="x",2)+IF($M$112="x",4)+IF($M$108="x",1)-IF($M$109="x",1)-IF($M$99="x",1)+IF($M$90="x",1),
$I$3&lt;6,SUM($C$3,$I$3)+IF(H749="x",1)-2+$I$16-$B$10+$M$94+IF($C$77="x",2)-IF($C$78="x",4)-IF($I$78="x",1)-IF($I$77="x",2)-IF($I$90="x",2)+IF($I$83="x",2)-IF($C$76="x",4)-$C$112+IF(H706="x",1)+I706+$M$77+IF(H708="x",1)+IF(J708="x",1)+IF($M$76="x",2)+J706+IF($M$85="x",1)+IF($M$113="x",1)+IF($M$120="x",2)+IF($M$119="x",2)+IF($M$105="x",1)+IF($M$110="x",1)+IF($M$111="x",2)+IF($M$112="x",4)+IF($M$108="x",1)-IF($M$109="x",1)-IF($M$99="x",1)+IF($M$90="x",1),
$I$3&lt;11,SUM($C$3,$I$3)+IF(H749="x",1)-2+$I$16-$B$10+$M$94+IF($C$77="x",2)-IF($C$78="x",4)-IF($I$78="x",1)-IF($I$77="x",2)-IF($I$90="x",2)+IF($I$83="x",2)-IF($C$76="x",4)-$C$112+IF(H706="x",1)+I706+$M$77+IF(H708="x",1)+IF(J708="x",1)+IF($M$76="x",2)+J706+IF($M$85="x",1)+IF($M$113="x",1)+IF($M$120="x",2)+IF($M$119="x",2)+IF($M$105="x",1)+IF($M$110="x",1)+IF($M$111="x",2)+IF($M$112="x",4)+IF($M$108="x",1)-IF($M$109="x",1)-IF($M$99="x",1)+IF($M$90="x",1)
&amp;"/"&amp;SUM($C$3,$I$3)+IF(H749="x",1)-2+$I$16-$B$10+$M$94+IF($C$77="x",2)-IF($C$78="x",4)-IF($I$78="x",1)-IF($I$77="x",2)-IF($I$90="x",2)+IF($I$83="x",2)-IF($C$76="x",4)-$C$112+IF(H706="x",1)+I706+$M$77+IF(H708="x",1)+IF(J708="x",1)+IF($M$76="x",2)+J706+IF($M$85="x",1)+IF($M$113="x",1)+IF($M$120="x",2)+IF($M$119="x",2)+IF($M$105="x",1)+IF($M$110="x",1)+IF($M$111="x",2)+IF($M$112="x",4)+IF($M$108="x",1)-IF($M$109="x",1)-IF($M$99="x",1)+IF($M$90="x",1)-5,
$I$3&lt;16,SUM($C$3,$I$3)+IF(H749="x",1)-2+$I$16-$B$10+$M$94+IF($C$77="x",2)-IF($C$78="x",4)-IF($I$78="x",1)-IF($I$77="x",2)-IF($I$90="x",2)+IF($I$83="x",2)-IF($C$76="x",4)-$C$112+IF(H706="x",1)+I706+$M$77+IF(H708="x",1)+IF(J708="x",1)+IF($M$76="x",2)+J706+IF($M$85="x",1)+IF($M$113="x",1)+IF($M$120="x",2)+IF($M$119="x",2)+IF($M$105="x",1)+IF($M$110="x",1)+IF($M$111="x",2)+IF($M$112="x",4)+IF($M$108="x",1)-IF($M$109="x",1)-IF($M$99="x",1)+IF($M$90="x",1)
&amp;"/"&amp;SUM($C$3,$I$3)+IF(H749="x",1)-2+$I$16-$B$10+$M$94+IF($C$77="x",2)-IF($C$78="x",4)-IF($I$78="x",1)-IF($I$77="x",2)-IF($I$90="x",2)+IF($I$83="x",2)-IF($C$76="x",4)-$C$112+IF(H706="x",1)+I706+$M$77+IF(H708="x",1)+IF(J708="x",1)+IF($M$76="x",2)+J706+IF($M$85="x",1)+IF($M$113="x",1)+IF($M$120="x",2)+IF($M$119="x",2)+IF($M$105="x",1)+IF($M$110="x",1)+IF($M$111="x",2)+IF($M$112="x",4)+IF($M$108="x",1)-IF($M$109="x",1)-IF($M$99="x",1)+IF($M$90="x",1)-5
&amp;"/"&amp;SUM($C$3,$I$3)+IF(H749="x",1)-2+$I$16-$B$10+$M$94+IF($C$77="x",2)-IF($C$78="x",4)-IF($I$78="x",1)-IF($I$77="x",2)-IF($I$90="x",2)+IF($I$83="x",2)-IF($C$76="x",4)-$C$112+IF(H706="x",1)+I706+$M$77+IF(H708="x",1)+IF(J708="x",1)+IF($M$76="x",2)+J706+IF($M$85="x",1)+IF($M$113="x",1)+IF($M$120="x",2)+IF($M$119="x",2)+IF($M$105="x",1)+IF($M$110="x",1)+IF($M$111="x",2)+IF($M$112="x",4)+IF($M$108="x",1)-IF($M$109="x",1)-IF($M$99="x",1)+IF($M$90="x",1)-10,
$I$3&gt;=16,SUM($C$3,$I$3)+IF(H749="x",1)-2+$I$16-$B$10+$M$94+IF($C$77="x",2)-IF($C$78="x",4)-IF($I$78="x",1)-IF($I$77="x",2)-IF($I$90="x",2)+IF($I$83="x",2)-IF($C$76="x",4)-$C$112+IF(H706="x",1)+I706+$M$77+IF(H708="x",1)+IF(J708="x",1)+IF($M$76="x",2)+J706+IF($M$85="x",1)+IF($M$113="x",1)+IF($M$120="x",2)+IF($M$119="x",2)+IF($M$105="x",1)+IF($M$110="x",1)+IF($M$111="x",2)+IF($M$112="x",4)+IF($M$108="x",1)-IF($M$109="x",1)-IF($M$99="x",1)+IF($M$90="x",1)
&amp;"/"&amp;SUM($C$3,$I$3)+IF(H749="x",1)-2+$I$16-$B$10+$M$94+IF($C$77="x",2)-IF($C$78="x",4)-IF($I$78="x",1)-IF($I$77="x",2)-IF($I$90="x",2)+IF($I$83="x",2)-IF($C$76="x",4)-$C$112+IF(H706="x",1)+I706+$M$77+IF(H708="x",1)+IF(J708="x",1)+IF($M$76="x",2)+J706+IF($M$85="x",1)+IF($M$113="x",1)+IF($M$120="x",2)+IF($M$119="x",2)+IF($M$105="x",1)+IF($M$110="x",1)+IF($M$111="x",2)+IF($M$112="x",4)+IF($M$108="x",1)-IF($M$109="x",1)-IF($M$99="x",1)+IF($M$90="x",1)-5
&amp;"/"&amp;SUM($C$3,$I$3)+IF(H749="x",1)-2+$I$16-$B$10+$M$94+IF($C$77="x",2)-IF($C$78="x",4)-IF($I$78="x",1)-IF($I$77="x",2)-IF($I$90="x",2)+IF($I$83="x",2)-IF($C$76="x",4)-$C$112+IF(H706="x",1)+I706+$M$77+IF(H708="x",1)+IF(J708="x",1)+IF($M$76="x",2)+J706+IF($M$85="x",1)+IF($M$113="x",1)+IF($M$120="x",2)+IF($M$119="x",2)+IF($M$105="x",1)+IF($M$110="x",1)+IF($M$111="x",2)+IF($M$112="x",4)+IF($M$108="x",1)-IF($M$109="x",1)-IF($M$99="x",1)+IF($M$90="x",1)-10
&amp;"/"&amp;SUM($C$3,$I$3)+IF(H749="x",1)-2+$I$16-$B$10+$M$94+IF($C$77="x",2)-IF($C$78="x",4)-IF($I$78="x",1)-IF($I$77="x",2)-IF($I$90="x",2)+IF($I$83="x",2)-IF($C$76="x",4)-$C$112+IF(H706="x",1)+I706+$M$77+IF(H708="x",1)+IF(J708="x",1)+IF($M$76="x",2)+J706+IF($M$85="x",1)+IF($M$113="x",1)+IF($M$120="x",2)+IF($M$119="x",2)+IF($M$105="x",1)+IF($M$110="x",1)+IF($M$111="x",2)+IF($M$112="x",4)+IF($M$108="x",1)-IF($M$109="x",1)-IF($M$99="x",1)+IF($M$90="x",1)-15)</f>
        <v>-2</v>
      </c>
      <c r="C746" s="82"/>
      <c r="D746" s="121"/>
      <c r="E746" s="82"/>
      <c r="F746" s="82"/>
      <c r="G746" s="82"/>
      <c r="H746" s="14" t="s">
        <v>220</v>
      </c>
      <c r="I746" s="14" t="s">
        <v>221</v>
      </c>
      <c r="J746" s="14" t="s">
        <v>222</v>
      </c>
      <c r="K746" s="14" t="s">
        <v>223</v>
      </c>
      <c r="AB746" s="46"/>
      <c r="AC746" s="48"/>
      <c r="AD746" s="48"/>
      <c r="AE746" s="48"/>
      <c r="AF746" s="48"/>
      <c r="AG746" s="48"/>
      <c r="AH746" s="48"/>
      <c r="AI746" s="48"/>
      <c r="AJ746" s="48"/>
      <c r="AK746" s="48"/>
      <c r="AL746" s="48"/>
    </row>
    <row r="747" spans="1:38" x14ac:dyDescent="0.2">
      <c r="A747" s="126">
        <f>A745*3</f>
        <v>90</v>
      </c>
      <c r="B747" s="121">
        <f>_xlfn.IFS($I$85="x","PAINISSA",
I749="x",SUM($C$3,$I$3)+IF(H749="x",1)+$I$16-$B$10+$M$94+IF($C$77="x",2)-IF($C$78="x",4)-IF($I$78="x",1)-IF($I$77="x",2)-IF($I$90="x",2)+IF($I$83="x",2)-IF($C$76="x",4)-$C$112+IF(H706="x",1)+I706+$M$77+IF(H708="x",1)+IF(J708="x",1)+IF($M$76="x",2)+J706+IF($M$85="x",1)+IF($M$113="x",1)+IF($M$120="x",2)+IF($M$119="x",2)+IF($M$105="x",1)+IF($M$110="x",1)+IF($M$111="x",2)+IF($M$112="x",4)+IF($M$108="x",1)-IF($M$109="x",1)-IF($M$99="x",1)+IF($M$90="x",1)-2-4,
J749="x",SUM($C$3,$I$3)+IF(H749="x",1)+$I$16-$B$10+$M$94+IF($C$77="x",2)-IF($C$78="x",4)-IF($I$78="x",1)-IF($I$77="x",2)-IF($I$90="x",2)+IF($I$83="x",2)-IF($C$76="x",4)-$C$112+IF(H706="x",1)+I706+$M$77+IF(H708="x",1)+IF(J708="x",1)+IF($M$76="x",2)+J706+IF($M$85="x",1)+IF($M$113="x",1)+IF($M$120="x",2)+IF($M$119="x",2)+IF($M$105="x",1)+IF($M$110="x",1)+IF($M$111="x",2)+IF($M$112="x",4)+IF($M$108="x",1)-IF($M$109="x",1)-IF($M$99="x",1)+IF($M$90="x",1)-IF($C$97="x",2,4)-4
&amp;"/"&amp;SUM($C$3,$I$3)+IF(H749="x",1)+$I$16-$B$10+$M$94+IF($C$77="x",2)-IF($C$78="x",4)-IF($I$78="x",1)-IF($I$77="x",2)-IF($I$90="x",2)+IF($I$83="x",2)-IF($C$76="x",4)-$C$112+IF(H706="x",1)+I706+$M$77+IF(H708="x",1)+IF(J708="x",1)+IF($M$76="x",2)+J706+IF($M$85="x",1)+IF($M$113="x",1)+IF($M$120="x",2)+IF($M$119="x",2)+IF($M$105="x",1)+IF($M$110="x",1)+IF($M$111="x",2)+IF($M$112="x",4)+IF($M$108="x",1)-IF($M$109="x",1)-IF($M$99="x",1)+IF($M$90="x",1)-IF($C$97="x",2,8)-4,
$C$105&lt;&gt;"x",SUM($C$3,$I$3)+IF(H749="x",1)-4+$I$16-$B$10+$M$94+IF($C$77="x",2)-IF($C$78="x",4)-IF($I$78="x",1)-IF($I$77="x",2)-IF($I$90="x",2)+IF($I$83="x",2)-IF($C$76="x",4)-$C$112+IF(H706="x",1)+I706+$M$77+IF(H708="x",1)+IF(J708="x",1)+IF($M$76="x",2)+J706+IF($M$85="x",1)+IF($M$113="x",1)+IF($M$120="x",2)+IF($M$119="x",2)+IF($M$105="x",1)+IF($M$110="x",1)+IF($M$111="x",2)+IF($M$112="x",4)+IF($M$108="x",1)-IF($M$109="x",1)-IF($M$99="x",1)+IF($M$90="x",1),
$I$3&lt;6,SUM($C$3,$I$3)+IF(H749="x",1)-4+$I$16-$B$10+$M$94+IF($C$77="x",2)-IF($C$78="x",4)-IF($I$78="x",1)-IF($I$77="x",2)-IF($I$90="x",2)+IF($I$83="x",2)-IF($C$76="x",4)-$C$112+IF(H706="x",1)+I706+$M$77+IF(H708="x",1)+IF(J708="x",1)+IF($M$76="x",2)+J706+IF($M$85="x",1)+IF($M$113="x",1)+IF($M$120="x",2)+IF($M$119="x",2)+IF($M$105="x",1)+IF($M$110="x",1)+IF($M$111="x",2)+IF($M$112="x",4)+IF($M$108="x",1)-IF($M$109="x",1)-IF($M$99="x",1)+IF($M$90="x",1),
$I$3&lt;11,SUM($C$3,$I$3)+IF(H749="x",1)-4+$I$16-$B$10+$M$94+IF($C$77="x",2)-IF($C$78="x",4)-IF($I$78="x",1)-IF($I$77="x",2)-IF($I$90="x",2)+IF($I$83="x",2)-IF($C$76="x",4)-$C$112+IF(H706="x",1)+I706+$M$77+IF(H708="x",1)+IF(J708="x",1)+IF($M$76="x",2)+J706+IF($M$85="x",1)+IF($M$113="x",1)+IF($M$120="x",2)+IF($M$119="x",2)+IF($M$105="x",1)+IF($M$110="x",1)+IF($M$111="x",2)+IF($M$112="x",4)+IF($M$108="x",1)-IF($M$109="x",1)-IF($M$99="x",1)+IF($M$90="x",1)
&amp;"/"&amp;SUM($C$3,$I$3)+IF(H749="x",1)-4+$I$16-$B$10+$M$94+IF($C$77="x",2)-IF($C$78="x",4)-IF($I$78="x",1)-IF($I$77="x",2)-IF($I$90="x",2)+IF($I$83="x",2)-IF($C$76="x",4)-$C$112+IF(H706="x",1)+I706+$M$77+IF(H708="x",1)+IF(J708="x",1)+IF($M$76="x",2)+J706+IF($M$85="x",1)+IF($M$113="x",1)+IF($M$120="x",2)+IF($M$119="x",2)+IF($M$105="x",1)+IF($M$110="x",1)+IF($M$111="x",2)+IF($M$112="x",4)+IF($M$108="x",1)-IF($M$109="x",1)-IF($M$99="x",1)+IF($M$90="x",1)-5,
$I$3&lt;16,SUM($C$3,$I$3)+IF(H749="x",1)-4+$I$16-$B$10+$M$94+IF($C$77="x",2)-IF($C$78="x",4)-IF($I$78="x",1)-IF($I$77="x",2)-IF($I$90="x",2)+IF($I$83="x",2)-IF($C$76="x",4)-$C$112+IF(H706="x",1)+I706+$M$77+IF(H708="x",1)+IF(J708="x",1)+IF($M$76="x",2)+J706+IF($M$85="x",1)+IF($M$113="x",1)+IF($M$120="x",2)+IF($M$119="x",2)+IF($M$105="x",1)+IF($M$110="x",1)+IF($M$111="x",2)+IF($M$112="x",4)+IF($M$108="x",1)-IF($M$109="x",1)-IF($M$99="x",1)+IF($M$90="x",1)
&amp;"/"&amp;SUM($C$3,$I$3)+IF(H749="x",1)-4+$I$16-$B$10+$M$94+IF($C$77="x",2)-IF($C$78="x",4)-IF($I$78="x",1)-IF($I$77="x",2)-IF($I$90="x",2)+IF($I$83="x",2)-IF($C$76="x",4)-$C$112+IF(H706="x",1)+I706+$M$77+IF(H708="x",1)+IF(J708="x",1)+IF($M$76="x",2)+J706+IF($M$85="x",1)+IF($M$113="x",1)+IF($M$120="x",2)+IF($M$119="x",2)+IF($M$105="x",1)+IF($M$110="x",1)+IF($M$111="x",2)+IF($M$112="x",4)+IF($M$108="x",1)-IF($M$109="x",1)-IF($M$99="x",1)+IF($M$90="x",1)-5
&amp;"/"&amp;SUM($C$3,$I$3)+IF(H749="x",1)-4+$I$16-$B$10+$M$94+IF($C$77="x",2)-IF($C$78="x",4)-IF($I$78="x",1)-IF($I$77="x",2)-IF($I$90="x",2)+IF($I$83="x",2)-IF($C$76="x",4)-$C$112+IF(H706="x",1)+I706+$M$77+IF(H708="x",1)+IF(J708="x",1)+IF($M$76="x",2)+J706+IF($M$85="x",1)+IF($M$113="x",1)+IF($M$120="x",2)+IF($M$119="x",2)+IF($M$105="x",1)+IF($M$110="x",1)+IF($M$111="x",2)+IF($M$112="x",4)+IF($M$108="x",1)-IF($M$109="x",1)-IF($M$99="x",1)+IF($M$90="x",1)-10,
$I$3&gt;=16,SUM($C$3,$I$3)+IF(H749="x",1)-4+$I$16-$B$10+$M$94+IF($C$77="x",2)-IF($C$78="x",4)-IF($I$78="x",1)-IF($I$77="x",2)-IF($I$90="x",2)+IF($I$83="x",2)-IF($C$76="x",4)-$C$112+IF(H706="x",1)+I706+$M$77+IF(H708="x",1)+IF(J708="x",1)+IF($M$76="x",2)+J706+IF($M$85="x",1)+IF($M$113="x",1)+IF($M$120="x",2)+IF($M$119="x",2)+IF($M$105="x",1)+IF($M$110="x",1)+IF($M$111="x",2)+IF($M$112="x",4)+IF($M$108="x",1)-IF($M$109="x",1)-IF($M$99="x",1)+IF($M$90="x",1)
&amp;"/"&amp;SUM($C$3,$I$3)+IF(H749="x",1)-4+$I$16-$B$10+$M$94+IF($C$77="x",2)-IF($C$78="x",4)-IF($I$78="x",1)-IF($I$77="x",2)-IF($I$90="x",2)+IF($I$83="x",2)-IF($C$76="x",4)-$C$112+IF(H706="x",1)+I706+$M$77+IF(H708="x",1)+IF(J708="x",1)+IF($M$76="x",2)+J706+IF($M$85="x",1)+IF($M$113="x",1)+IF($M$120="x",2)+IF($M$119="x",2)+IF($M$105="x",1)+IF($M$110="x",1)+IF($M$111="x",2)+IF($M$112="x",4)+IF($M$108="x",1)-IF($M$109="x",1)-IF($M$99="x",1)+IF($M$90="x",1)-5
&amp;"/"&amp;SUM($C$3,$I$3)+IF(H749="x",1)-4+$I$16-$B$10+$M$94+IF($C$77="x",2)-IF($C$78="x",4)-IF($I$78="x",1)-IF($I$77="x",2)-IF($I$90="x",2)+IF($I$83="x",2)-IF($C$76="x",4)-$C$112+IF(H706="x",1)+I706+$M$77+IF(H708="x",1)+IF(J708="x",1)+IF($M$76="x",2)+J706+IF($M$85="x",1)+IF($M$113="x",1)+IF($M$120="x",2)+IF($M$119="x",2)+IF($M$105="x",1)+IF($M$110="x",1)+IF($M$111="x",2)+IF($M$112="x",4)+IF($M$108="x",1)-IF($M$109="x",1)-IF($M$99="x",1)+IF($M$90="x",1)-10
&amp;"/"&amp;SUM($C$3,$I$3)+IF(H749="x",1)-4+$I$16-$B$10+$M$94+IF($C$77="x",2)-IF($C$78="x",4)-IF($I$78="x",1)-IF($I$77="x",2)-IF($I$90="x",2)+IF($I$83="x",2)-IF($C$76="x",4)-$C$112+IF(H706="x",1)+I706+$M$77+IF(H708="x",1)+IF(J708="x",1)+IF($M$76="x",2)+J706+IF($M$85="x",1)+IF($M$113="x",1)+IF($M$120="x",2)+IF($M$119="x",2)+IF($M$105="x",1)+IF($M$110="x",1)+IF($M$111="x",2)+IF($M$112="x",4)+IF($M$108="x",1)-IF($M$109="x",1)-IF($M$99="x",1)+IF($M$90="x",1)-15)</f>
        <v>-4</v>
      </c>
      <c r="C747" s="82"/>
      <c r="D747" s="121"/>
      <c r="E747" s="82"/>
      <c r="F747" s="82"/>
      <c r="G747" s="82"/>
      <c r="H747" s="28"/>
      <c r="I747" s="28"/>
      <c r="J747" s="28"/>
      <c r="K747" s="28"/>
      <c r="AB747" s="59"/>
      <c r="AC747" s="51"/>
      <c r="AD747" s="49"/>
      <c r="AE747" s="51"/>
      <c r="AF747" s="49"/>
      <c r="AG747" s="49"/>
      <c r="AH747" s="49"/>
      <c r="AI747" s="40"/>
      <c r="AJ747" s="40"/>
      <c r="AK747" s="40"/>
      <c r="AL747" s="40"/>
    </row>
    <row r="748" spans="1:38" x14ac:dyDescent="0.2">
      <c r="A748" s="127">
        <f>A745*4</f>
        <v>120</v>
      </c>
      <c r="B748" s="123">
        <f>_xlfn.IFS($I$85="x","PAINISSA",
I749="x",SUM($C$3,$I$3)+IF(H749="x",1)+$I$16-$B$10+$M$94+IF($C$77="x",2)-IF($C$78="x",4)-IF($I$78="x",1)-IF($I$77="x",2)-IF($I$90="x",2)+IF($I$83="x",2)-IF($C$76="x",4)-$C$112+IF(H706="x",1)+I706+$M$77+IF(H708="x",1)+IF(J708="x",1)+IF($M$76="x",2)+J706+IF($M$85="x",1)+IF($M$113="x",1)+IF($M$120="x",2)+IF($M$119="x",2)+IF($M$105="x",1)+IF($M$110="x",1)+IF($M$111="x",2)+IF($M$112="x",4)+IF($M$108="x",1)-IF($M$109="x",1)-IF($M$99="x",1)+IF($M$90="x",1)-2-6,
J749="x",SUM($C$3,$I$3)+IF(H749="x",1)+$I$16-$B$10+$M$94+IF($C$77="x",2)-IF($C$78="x",4)-IF($I$78="x",1)-IF($I$77="x",2)-IF($I$90="x",2)+IF($I$83="x",2)-IF($C$76="x",4)-$C$112+IF(H706="x",1)+I706+$M$77+IF(H708="x",1)+IF(J708="x",1)+IF($M$76="x",2)+J706+IF($M$85="x",1)+IF($M$113="x",1)+IF($M$120="x",2)+IF($M$119="x",2)+IF($M$105="x",1)+IF($M$110="x",1)+IF($M$111="x",2)+IF($M$112="x",4)+IF($M$108="x",1)-IF($M$109="x",1)-IF($M$99="x",1)+IF($M$90="x",1)-IF($C$97="x",2,4)-6
&amp;"/"&amp;SUM($C$3,$I$3)+IF(H749="x",1)+$I$16-$B$10+$M$94+IF($C$77="x",2)-IF($C$78="x",4)-IF($I$78="x",1)-IF($I$77="x",2)-IF($I$90="x",2)+IF($I$83="x",2)-IF($C$76="x",4)-$C$112+IF(H706="x",1)+I706+$M$77+IF(H708="x",1)+IF(J708="x",1)+IF($M$76="x",2)+J706+IF($M$85="x",1)+IF($M$113="x",1)+IF($M$120="x",2)+IF($M$119="x",2)+IF($M$105="x",1)+IF($M$110="x",1)+IF($M$111="x",2)+IF($M$112="x",4)+IF($M$108="x",1)-IF($M$109="x",1)-IF($M$99="x",1)+IF($M$90="x",1)-IF($C$97="x",2,8)-6,
$C$105&lt;&gt;"x",SUM($C$3,$I$3)+IF(H749="x",1)-6+$I$16-$B$10+$M$94+IF($C$77="x",2)-IF($C$78="x",4)-IF($I$78="x",1)-IF($I$77="x",2)-IF($I$90="x",2)+IF($I$83="x",2)-IF($C$76="x",4)-$C$112+IF(H706="x",1)+I706+$M$77+IF(H708="x",1)+IF(J708="x",1)+IF($M$76="x",2)+J706+IF($M$85="x",1)+IF($M$113="x",1)+IF($M$120="x",2)+IF($M$119="x",2)+IF($M$105="x",1)+IF($M$110="x",1)+IF($M$111="x",2)+IF($M$112="x",4)+IF($M$108="x",1)-IF($M$109="x",1)-IF($M$99="x",1)+IF($M$90="x",1),
$I$3&lt;6,SUM($C$3,$I$3)+IF(H749="x",1)-6+$I$16-$B$10+$M$94+IF($C$77="x",2)-IF($C$78="x",4)-IF($I$78="x",1)-IF($I$77="x",2)-IF($I$90="x",2)+IF($I$83="x",2)-IF($C$76="x",4)-$C$112+IF(H706="x",1)+I706+$M$77+IF(H708="x",1)+IF(J708="x",1)+IF($M$76="x",2)+J706+IF($M$85="x",1)+IF($M$113="x",1)+IF($M$120="x",2)+IF($M$119="x",2)+IF($M$105="x",1)+IF($M$110="x",1)+IF($M$111="x",2)+IF($M$112="x",4)+IF($M$108="x",1)-IF($M$109="x",1)-IF($M$99="x",1)+IF($M$90="x",1),
$I$3&lt;11,SUM($C$3,$I$3)+IF(H749="x",1)-6+$I$16-$B$10+$M$94+IF($C$77="x",2)-IF($C$78="x",4)-IF($I$78="x",1)-IF($I$77="x",2)-IF($I$90="x",2)+IF($I$83="x",2)-IF($C$76="x",4)-$C$112+IF(H706="x",1)+I706+$M$77+IF(H708="x",1)+IF(J708="x",1)+IF($M$76="x",2)+J706+IF($M$85="x",1)+IF($M$113="x",1)+IF($M$120="x",2)+IF($M$119="x",2)+IF($M$105="x",1)+IF($M$110="x",1)+IF($M$111="x",2)+IF($M$112="x",4)+IF($M$108="x",1)-IF($M$109="x",1)-IF($M$99="x",1)+IF($M$90="x",1)
&amp;"/"&amp;SUM($C$3,$I$3)+IF(H749="x",1)-6+$I$16-$B$10+$M$94+IF($C$77="x",2)-IF($C$78="x",4)-IF($I$78="x",1)-IF($I$77="x",2)-IF($I$90="x",2)+IF($I$83="x",2)-IF($C$76="x",4)-$C$112+IF(H706="x",1)+I706+$M$77+IF(H708="x",1)+IF(J708="x",1)+IF($M$76="x",2)+J706+IF($M$85="x",1)+IF($M$113="x",1)+IF($M$120="x",2)+IF($M$119="x",2)+IF($M$105="x",1)+IF($M$110="x",1)+IF($M$111="x",2)+IF($M$112="x",4)+IF($M$108="x",1)-IF($M$109="x",1)-IF($M$99="x",1)+IF($M$90="x",1)-5,
$I$3&lt;16,SUM($C$3,$I$3)+IF(H749="x",1)-6+$I$16-$B$10+$M$94+IF($C$77="x",2)-IF($C$78="x",4)-IF($I$78="x",1)-IF($I$77="x",2)-IF($I$90="x",2)+IF($I$83="x",2)-IF($C$76="x",4)-$C$112+IF(H706="x",1)+I706+$M$77+IF(H708="x",1)+IF(J708="x",1)+IF($M$76="x",2)+J706+IF($M$85="x",1)+IF($M$113="x",1)+IF($M$120="x",2)+IF($M$119="x",2)+IF($M$105="x",1)+IF($M$110="x",1)+IF($M$111="x",2)+IF($M$112="x",4)+IF($M$108="x",1)-IF($M$109="x",1)-IF($M$99="x",1)+IF($M$90="x",1)
&amp;"/"&amp;SUM($C$3,$I$3)+IF(H749="x",1)-6+$I$16-$B$10+$M$94+IF($C$77="x",2)-IF($C$78="x",4)-IF($I$78="x",1)-IF($I$77="x",2)-IF($I$90="x",2)+IF($I$83="x",2)-IF($C$76="x",4)-$C$112+IF(H706="x",1)+I706+$M$77+IF(H708="x",1)+IF(J708="x",1)+IF($M$76="x",2)+J706+IF($M$85="x",1)+IF($M$113="x",1)+IF($M$120="x",2)+IF($M$119="x",2)+IF($M$105="x",1)+IF($M$110="x",1)+IF($M$111="x",2)+IF($M$112="x",4)+IF($M$108="x",1)-IF($M$109="x",1)-IF($M$99="x",1)+IF($M$90="x",1)-5
&amp;"/"&amp;SUM($C$3,$I$3)+IF(H749="x",1)-6+$I$16-$B$10+$M$94+IF($C$77="x",2)-IF($C$78="x",4)-IF($I$78="x",1)-IF($I$77="x",2)-IF($I$90="x",2)+IF($I$83="x",2)-IF($C$76="x",4)-$C$112+IF(H706="x",1)+I706+$M$77+IF(H708="x",1)+IF(J708="x",1)+IF($M$76="x",2)+J706+IF($M$85="x",1)+IF($M$113="x",1)+IF($M$120="x",2)+IF($M$119="x",2)+IF($M$105="x",1)+IF($M$110="x",1)+IF($M$111="x",2)+IF($M$112="x",4)+IF($M$108="x",1)-IF($M$109="x",1)-IF($M$99="x",1)+IF($M$90="x",1)-10,
$I$3&gt;=16,SUM($C$3,$I$3)+IF(H749="x",1)-6+$I$16-$B$10+$M$94+IF($C$77="x",2)-IF($C$78="x",4)-IF($I$78="x",1)-IF($I$77="x",2)-IF($I$90="x",2)+IF($I$83="x",2)-IF($C$76="x",4)-$C$112+IF(H706="x",1)+I706+$M$77+IF(H708="x",1)+IF(J708="x",1)+IF($M$76="x",2)+J706+IF($M$85="x",1)+IF($M$113="x",1)+IF($M$120="x",2)+IF($M$119="x",2)+IF($M$105="x",1)+IF($M$110="x",1)+IF($M$111="x",2)+IF($M$112="x",4)+IF($M$108="x",1)-IF($M$109="x",1)-IF($M$99="x",1)+IF($M$90="x",1)
&amp;"/"&amp;SUM($C$3,$I$3)+IF(H749="x",1)-6+$I$16-$B$10+$M$94+IF($C$77="x",2)-IF($C$78="x",4)-IF($I$78="x",1)-IF($I$77="x",2)-IF($I$90="x",2)+IF($I$83="x",2)-IF($C$76="x",4)-$C$112+IF(H706="x",1)+I706+$M$77+IF(H708="x",1)+IF(J708="x",1)+IF($M$76="x",2)+J706+IF($M$85="x",1)+IF($M$113="x",1)+IF($M$120="x",2)+IF($M$119="x",2)+IF($M$105="x",1)+IF($M$110="x",1)+IF($M$111="x",2)+IF($M$112="x",4)+IF($M$108="x",1)-IF($M$109="x",1)-IF($M$99="x",1)+IF($M$90="x",1)-5
&amp;"/"&amp;SUM($C$3,$I$3)+IF(H749="x",1)-6+$I$16-$B$10+$M$94+IF($C$77="x",2)-IF($C$78="x",4)-IF($I$78="x",1)-IF($I$77="x",2)-IF($I$90="x",2)+IF($I$83="x",2)-IF($C$76="x",4)-$C$112+IF(H706="x",1)+I706+$M$77+IF(H708="x",1)+IF(J708="x",1)+IF($M$76="x",2)+J706+IF($M$85="x",1)+IF($M$113="x",1)+IF($M$120="x",2)+IF($M$119="x",2)+IF($M$105="x",1)+IF($M$110="x",1)+IF($M$111="x",2)+IF($M$112="x",4)+IF($M$108="x",1)-IF($M$109="x",1)-IF($M$99="x",1)+IF($M$90="x",1)-10
&amp;"/"&amp;SUM($C$3,$I$3)+IF(H749="x",1)-6+$I$16-$B$10+$M$94+IF($C$77="x",2)-IF($C$78="x",4)-IF($I$78="x",1)-IF($I$77="x",2)-IF($I$90="x",2)+IF($I$83="x",2)-IF($C$76="x",4)-$C$112+IF(H706="x",1)+I706+$M$77+IF(H708="x",1)+IF(J708="x",1)+IF($M$76="x",2)+J706+IF($M$85="x",1)+IF($M$113="x",1)+IF($M$120="x",2)+IF($M$119="x",2)+IF($M$105="x",1)+IF($M$110="x",1)+IF($M$111="x",2)+IF($M$112="x",4)+IF($M$108="x",1)-IF($M$109="x",1)-IF($M$99="x",1)+IF($M$90="x",1)-15)</f>
        <v>-6</v>
      </c>
      <c r="C748" s="82"/>
      <c r="D748" s="121"/>
      <c r="E748" s="82"/>
      <c r="F748" s="82"/>
      <c r="G748" s="82"/>
      <c r="H748" s="14" t="s">
        <v>182</v>
      </c>
      <c r="I748" s="11" t="s">
        <v>246</v>
      </c>
      <c r="J748" s="11" t="s">
        <v>247</v>
      </c>
      <c r="AB748" s="62"/>
      <c r="AC748" s="53"/>
      <c r="AD748" s="49"/>
      <c r="AE748" s="51"/>
      <c r="AF748" s="49"/>
      <c r="AG748" s="49"/>
      <c r="AH748" s="49"/>
      <c r="AI748" s="48"/>
      <c r="AJ748" s="48"/>
      <c r="AK748" s="48"/>
      <c r="AL748" s="48"/>
    </row>
    <row r="749" spans="1:38" x14ac:dyDescent="0.2">
      <c r="A749" s="126">
        <f>A745*5</f>
        <v>150</v>
      </c>
      <c r="B749" s="121">
        <f>_xlfn.IFS($I$85="x","PAINISSA",
I749="x",SUM($C$3,$I$3)+IF(H749="x",1)+$I$16-$B$10+$M$94+IF($C$77="x",2)-IF($C$78="x",4)-IF($I$78="x",1)-IF($I$77="x",2)-IF($I$90="x",2)+IF($I$83="x",2)-IF($C$76="x",4)-$C$112+IF(H706="x",1)+I706+$M$77+IF(H708="x",1)+IF(J708="x",1)+IF($M$76="x",2)+J706+IF($M$85="x",1)+IF($M$113="x",1)+IF($M$120="x",2)+IF($M$119="x",2)+IF($M$105="x",1)+IF($M$110="x",1)+IF($M$111="x",2)+IF($M$112="x",4)+IF($M$108="x",1)-IF($M$109="x",1)-IF($M$99="x",1)+IF($M$90="x",1)-2-8,
J749="x",SUM($C$3,$I$3)+IF(H749="x",1)+$I$16-$B$10+$M$94+IF($C$77="x",2)-IF($C$78="x",4)-IF($I$78="x",1)-IF($I$77="x",2)-IF($I$90="x",2)+IF($I$83="x",2)-IF($C$76="x",4)-$C$112+IF(H706="x",1)+I706+$M$77+IF(H708="x",1)+IF(J708="x",1)+IF($M$76="x",2)+J706+IF($M$85="x",1)+IF($M$113="x",1)+IF($M$120="x",2)+IF($M$119="x",2)+IF($M$105="x",1)+IF($M$110="x",1)+IF($M$111="x",2)+IF($M$112="x",4)+IF($M$108="x",1)-IF($M$109="x",1)-IF($M$99="x",1)+IF($M$90="x",1)-IF($C$97="x",2,4)-8
&amp;"/"&amp;SUM($C$3,$I$3)+IF(H749="x",1)+$I$16-$B$10+$M$94+IF($C$77="x",2)-IF($C$78="x",4)-IF($I$78="x",1)-IF($I$77="x",2)-IF($I$90="x",2)+IF($I$83="x",2)-IF($C$76="x",4)-$C$112+IF(H706="x",1)+I706+$M$77+IF(H708="x",1)+IF(J708="x",1)+IF($M$76="x",2)+J706+IF($M$85="x",1)+IF($M$113="x",1)+IF($M$120="x",2)+IF($M$119="x",2)+IF($M$105="x",1)+IF($M$110="x",1)+IF($M$111="x",2)+IF($M$112="x",4)+IF($M$108="x",1)-IF($M$109="x",1)-IF($M$99="x",1)+IF($M$90="x",1)-IF($C$97="x",2,8)-8,
$C$105&lt;&gt;"x",SUM($C$3,$I$3)+IF(H749="x",1)-8+$I$16-$B$10+$M$94+IF($C$77="x",2)-IF($C$78="x",4)-IF($I$78="x",1)-IF($I$77="x",2)-IF($I$90="x",2)+IF($I$83="x",2)-IF($C$76="x",4)-$C$112+IF(H706="x",1)+I706+$M$77+IF(H708="x",1)+IF(J708="x",1)+IF($M$76="x",2)+J706+IF($M$85="x",1)+IF($M$113="x",1)+IF($M$120="x",2)+IF($M$119="x",2)+IF($M$105="x",1)+IF($M$110="x",1)+IF($M$111="x",2)+IF($M$112="x",4)+IF($M$108="x",1)-IF($M$109="x",1)-IF($M$99="x",1)+IF($M$90="x",1),
$I$3&lt;6,SUM($C$3,$I$3)+IF(H749="x",1)-8+$I$16-$B$10+$M$94+IF($C$77="x",2)-IF($C$78="x",4)-IF($I$78="x",1)-IF($I$77="x",2)-IF($I$90="x",2)+IF($I$83="x",2)-IF($C$76="x",4)-$C$112+IF(H706="x",1)+I706+$M$77+IF(H708="x",1)+IF(J708="x",1)+IF($M$76="x",2)+J706+IF($M$85="x",1)+IF($M$113="x",1)+IF($M$120="x",2)+IF($M$119="x",2)+IF($M$105="x",1)+IF($M$110="x",1)+IF($M$111="x",2)+IF($M$112="x",4)+IF($M$108="x",1)-IF($M$109="x",1)-IF($M$99="x",1)+IF($M$90="x",1),
$I$3&lt;11,SUM($C$3,$I$3)+IF(H749="x",1)-8+$I$16-$B$10+$M$94+IF($C$77="x",2)-IF($C$78="x",4)-IF($I$78="x",1)-IF($I$77="x",2)-IF($I$90="x",2)+IF($I$83="x",2)-IF($C$76="x",4)-$C$112+IF(H706="x",1)+I706+$M$77+IF(H708="x",1)+IF(J708="x",1)+IF($M$76="x",2)+J706+IF($M$85="x",1)+IF($M$113="x",1)+IF($M$120="x",2)+IF($M$119="x",2)+IF($M$105="x",1)+IF($M$110="x",1)+IF($M$111="x",2)+IF($M$112="x",4)+IF($M$108="x",1)-IF($M$109="x",1)-IF($M$99="x",1)+IF($M$90="x",1)
&amp;"/"&amp;SUM($C$3,$I$3)+IF(H749="x",1)-8+$I$16-$B$10+$M$94+IF($C$77="x",2)-IF($C$78="x",4)-IF($I$78="x",1)-IF($I$77="x",2)-IF($I$90="x",2)+IF($I$83="x",2)-IF($C$76="x",4)-$C$112+IF(H706="x",1)+I706+$M$77+IF(H708="x",1)+IF(J708="x",1)+IF($M$76="x",2)+J706+IF($M$85="x",1)+IF($M$113="x",1)+IF($M$120="x",2)+IF($M$119="x",2)+IF($M$105="x",1)+IF($M$110="x",1)+IF($M$111="x",2)+IF($M$112="x",4)+IF($M$108="x",1)-IF($M$109="x",1)-IF($M$99="x",1)+IF($M$90="x",1)-5,
$I$3&lt;16,SUM($C$3,$I$3)+IF(H749="x",1)-8+$I$16-$B$10+$M$94+IF($C$77="x",2)-IF($C$78="x",4)-IF($I$78="x",1)-IF($I$77="x",2)-IF($I$90="x",2)+IF($I$83="x",2)-IF($C$76="x",4)-$C$112+IF(H706="x",1)+I706+$M$77+IF(H708="x",1)+IF(J708="x",1)+IF($M$76="x",2)+J706+IF($M$85="x",1)+IF($M$113="x",1)+IF($M$120="x",2)+IF($M$119="x",2)+IF($M$105="x",1)+IF($M$110="x",1)+IF($M$111="x",2)+IF($M$112="x",4)+IF($M$108="x",1)-IF($M$109="x",1)-IF($M$99="x",1)+IF($M$90="x",1)
&amp;"/"&amp;SUM($C$3,$I$3)+IF(H749="x",1)-8+$I$16-$B$10+$M$94+IF($C$77="x",2)-IF($C$78="x",4)-IF($I$78="x",1)-IF($I$77="x",2)-IF($I$90="x",2)+IF($I$83="x",2)-IF($C$76="x",4)-$C$112+IF(H706="x",1)+I706+$M$77+IF(H708="x",1)+IF(J708="x",1)+IF($M$76="x",2)+J706+IF($M$85="x",1)+IF($M$113="x",1)+IF($M$120="x",2)+IF($M$119="x",2)+IF($M$105="x",1)+IF($M$110="x",1)+IF($M$111="x",2)+IF($M$112="x",4)+IF($M$108="x",1)-IF($M$109="x",1)-IF($M$99="x",1)+IF($M$90="x",1)-5
&amp;"/"&amp;SUM($C$3,$I$3)+IF(H749="x",1)-8+$I$16-$B$10+$M$94+IF($C$77="x",2)-IF($C$78="x",4)-IF($I$78="x",1)-IF($I$77="x",2)-IF($I$90="x",2)+IF($I$83="x",2)-IF($C$76="x",4)-$C$112+IF(H706="x",1)+I706+$M$77+IF(H708="x",1)+IF(J708="x",1)+IF($M$76="x",2)+J706+IF($M$85="x",1)+IF($M$113="x",1)+IF($M$120="x",2)+IF($M$119="x",2)+IF($M$105="x",1)+IF($M$110="x",1)+IF($M$111="x",2)+IF($M$112="x",4)+IF($M$108="x",1)-IF($M$109="x",1)-IF($M$99="x",1)+IF($M$90="x",1)-10,
$I$3&gt;=16,SUM($C$3,$I$3)+IF(H749="x",1)-8+$I$16-$B$10+$M$94+IF($C$77="x",2)-IF($C$78="x",4)-IF($I$78="x",1)-IF($I$77="x",2)-IF($I$90="x",2)+IF($I$83="x",2)-IF($C$76="x",4)-$C$112+IF(H706="x",1)+I706+$M$77+IF(H708="x",1)+IF(J708="x",1)+IF($M$76="x",2)+J706+IF($M$85="x",1)+IF($M$113="x",1)+IF($M$120="x",2)+IF($M$119="x",2)+IF($M$105="x",1)+IF($M$110="x",1)+IF($M$111="x",2)+IF($M$112="x",4)+IF($M$108="x",1)-IF($M$109="x",1)-IF($M$99="x",1)+IF($M$90="x",1)
&amp;"/"&amp;SUM($C$3,$I$3)+IF(H749="x",1)-8+$I$16-$B$10+$M$94+IF($C$77="x",2)-IF($C$78="x",4)-IF($I$78="x",1)-IF($I$77="x",2)-IF($I$90="x",2)+IF($I$83="x",2)-IF($C$76="x",4)-$C$112+IF(H706="x",1)+I706+$M$77+IF(H708="x",1)+IF(J708="x",1)+IF($M$76="x",2)+J706+IF($M$85="x",1)+IF($M$113="x",1)+IF($M$120="x",2)+IF($M$119="x",2)+IF($M$105="x",1)+IF($M$110="x",1)+IF($M$111="x",2)+IF($M$112="x",4)+IF($M$108="x",1)-IF($M$109="x",1)-IF($M$99="x",1)+IF($M$90="x",1)-5
&amp;"/"&amp;SUM($C$3,$I$3)+IF(H749="x",1)-8+$I$16-$B$10+$M$94+IF($C$77="x",2)-IF($C$78="x",4)-IF($I$78="x",1)-IF($I$77="x",2)-IF($I$90="x",2)+IF($I$83="x",2)-IF($C$76="x",4)-$C$112+IF(H706="x",1)+I706+$M$77+IF(H708="x",1)+IF(J708="x",1)+IF($M$76="x",2)+J706+IF($M$85="x",1)+IF($M$113="x",1)+IF($M$120="x",2)+IF($M$119="x",2)+IF($M$105="x",1)+IF($M$110="x",1)+IF($M$111="x",2)+IF($M$112="x",4)+IF($M$108="x",1)-IF($M$109="x",1)-IF($M$99="x",1)+IF($M$90="x",1)-10
&amp;"/"&amp;SUM($C$3,$I$3)+IF(H749="x",1)-8+$I$16-$B$10+$M$94+IF($C$77="x",2)-IF($C$78="x",4)-IF($I$78="x",1)-IF($I$77="x",2)-IF($I$90="x",2)+IF($I$83="x",2)-IF($C$76="x",4)-$C$112+IF(H706="x",1)+I706+$M$77+IF(H708="x",1)+IF(J708="x",1)+IF($M$76="x",2)+J706+IF($M$85="x",1)+IF($M$113="x",1)+IF($M$120="x",2)+IF($M$119="x",2)+IF($M$105="x",1)+IF($M$110="x",1)+IF($M$111="x",2)+IF($M$112="x",4)+IF($M$108="x",1)-IF($M$109="x",1)-IF($M$99="x",1)+IF($M$90="x",1)-15)</f>
        <v>-8</v>
      </c>
      <c r="C749" s="82"/>
      <c r="D749" s="121"/>
      <c r="E749" s="82"/>
      <c r="F749" s="82"/>
      <c r="G749" s="82"/>
      <c r="H749" s="28"/>
      <c r="I749" s="28"/>
      <c r="J749" s="28"/>
      <c r="K749" s="25"/>
      <c r="AB749" s="59"/>
      <c r="AC749" s="51"/>
      <c r="AD749" s="49"/>
      <c r="AE749" s="51"/>
      <c r="AF749" s="49"/>
      <c r="AG749" s="49"/>
      <c r="AH749" s="49"/>
      <c r="AI749" s="40"/>
      <c r="AJ749" s="40"/>
      <c r="AK749" s="40"/>
      <c r="AL749" s="40"/>
    </row>
    <row r="750" spans="1:38" x14ac:dyDescent="0.2">
      <c r="A750" s="127">
        <f>A745*6</f>
        <v>180</v>
      </c>
      <c r="B750" s="123">
        <f>_xlfn.IFS($I$85="x","PAINISSA",
I749="x",SUM($C$3,$I$3)+IF(H749="x",1)+$I$16-$B$10+$M$94+IF($C$77="x",2)-IF($C$78="x",4)-IF($I$78="x",1)-IF($I$77="x",2)-IF($I$90="x",2)+IF($I$83="x",2)-IF($C$76="x",4)-$C$112+IF(H706="x",1)+I706+$M$77+IF(H708="x",1)+IF(J708="x",1)+IF($M$76="x",2)+J706+IF($M$85="x",1)+IF($M$113="x",1)+IF($M$120="x",2)+IF($M$119="x",2)+IF($M$105="x",1)+IF($M$110="x",1)+IF($M$111="x",2)+IF($M$112="x",4)+IF($M$108="x",1)-IF($M$109="x",1)-IF($M$99="x",1)+IF($M$90="x",1)-2-10,
J749="x",SUM($C$3,$I$3)+IF(H749="x",1)+$I$16-$B$10+$M$94+IF($C$77="x",2)-IF($C$78="x",4)-IF($I$78="x",1)-IF($I$77="x",2)-IF($I$90="x",2)+IF($I$83="x",2)-IF($C$76="x",4)-$C$112+IF(H706="x",1)+I706+$M$77+IF(H708="x",1)+IF(J708="x",1)+IF($M$76="x",2)+J706+IF($M$85="x",1)+IF($M$113="x",1)+IF($M$120="x",2)+IF($M$119="x",2)+IF($M$105="x",1)+IF($M$110="x",1)+IF($M$111="x",2)+IF($M$112="x",4)+IF($M$108="x",1)-IF($M$109="x",1)-IF($M$99="x",1)+IF($M$90="x",1)-IF($C$97="x",2,4)-10
&amp;"/"&amp;SUM($C$3,$I$3)+IF(H749="x",1)+$I$16-$B$10+$M$94+IF($C$77="x",2)-IF($C$78="x",4)-IF($I$78="x",1)-IF($I$77="x",2)-IF($I$90="x",2)+IF($I$83="x",2)-IF($C$76="x",4)-$C$112+IF(H706="x",1)+I706+$M$77+IF(H708="x",1)+IF(J708="x",1)+IF($M$76="x",2)+J706+IF($M$85="x",1)+IF($M$113="x",1)+IF($M$120="x",2)+IF($M$119="x",2)+IF($M$105="x",1)+IF($M$110="x",1)+IF($M$111="x",2)+IF($M$112="x",4)+IF($M$108="x",1)-IF($M$109="x",1)-IF($M$99="x",1)+IF($M$90="x",1)-IF($C$97="x",2,8)-10,
$C$105&lt;&gt;"x",SUM($C$3,$I$3)+IF(H749="x",1)-10+$I$16-$B$10+$M$94+IF($C$77="x",2)-IF($C$78="x",4)-IF($I$78="x",1)-IF($I$77="x",2)-IF($I$90="x",2)+IF($I$83="x",2)-IF($C$76="x",4)-$C$112+IF(H706="x",1)+I706+$M$77+IF(H708="x",1)+IF(J708="x",1)+IF($M$76="x",2)+J706+IF($M$85="x",1)+IF($M$113="x",1)+IF($M$120="x",2)+IF($M$119="x",2)+IF($M$105="x",1)+IF($M$110="x",1)+IF($M$111="x",2)+IF($M$112="x",4)+IF($M$108="x",1)-IF($M$109="x",1)-IF($M$99="x",1)+IF($M$90="x",1),
$I$3&lt;6,SUM($C$3,$I$3)+IF(H749="x",1)-10+$I$16-$B$10+$M$94+IF($C$77="x",2)-IF($C$78="x",4)-IF($I$78="x",1)-IF($I$77="x",2)-IF($I$90="x",2)+IF($I$83="x",2)-IF($C$76="x",4)-$C$112+IF(H706="x",1)+I706+$M$77+IF(H708="x",1)+IF(J708="x",1)+IF($M$76="x",2)+J706+IF($M$85="x",1)+IF($M$113="x",1)+IF($M$120="x",2)+IF($M$119="x",2)+IF($M$105="x",1)+IF($M$110="x",1)+IF($M$111="x",2)+IF($M$112="x",4)+IF($M$108="x",1)-IF($M$109="x",1)-IF($M$99="x",1)+IF($M$90="x",1),
$I$3&lt;11,SUM($C$3,$I$3)+IF(H749="x",1)-10+$I$16-$B$10+$M$94+IF($C$77="x",2)-IF($C$78="x",4)-IF($I$78="x",1)-IF($I$77="x",2)-IF($I$90="x",2)+IF($I$83="x",2)-IF($C$76="x",4)-$C$112+IF(H706="x",1)+I706+$M$77+IF(H708="x",1)+IF(J708="x",1)+IF($M$76="x",2)+J706+IF($M$85="x",1)+IF($M$113="x",1)+IF($M$120="x",2)+IF($M$119="x",2)+IF($M$105="x",1)+IF($M$110="x",1)+IF($M$111="x",2)+IF($M$112="x",4)+IF($M$108="x",1)-IF($M$109="x",1)-IF($M$99="x",1)+IF($M$90="x",1)
&amp;"/"&amp;SUM($C$3,$I$3)+IF(H749="x",1)-10+$I$16-$B$10+$M$94+IF($C$77="x",2)-IF($C$78="x",4)-IF($I$78="x",1)-IF($I$77="x",2)-IF($I$90="x",2)+IF($I$83="x",2)-IF($C$76="x",4)-$C$112+IF(H706="x",1)+I706+$M$77+IF(H708="x",1)+IF(J708="x",1)+IF($M$76="x",2)+J706+IF($M$85="x",1)+IF($M$113="x",1)+IF($M$120="x",2)+IF($M$119="x",2)+IF($M$105="x",1)+IF($M$110="x",1)+IF($M$111="x",2)+IF($M$112="x",4)+IF($M$108="x",1)-IF($M$109="x",1)-IF($M$99="x",1)+IF($M$90="x",1)-5,
$I$3&lt;16,SUM($C$3,$I$3)+IF(H749="x",1)-10+$I$16-$B$10+$M$94+IF($C$77="x",2)-IF($C$78="x",4)-IF($I$78="x",1)-IF($I$77="x",2)-IF($I$90="x",2)+IF($I$83="x",2)-IF($C$76="x",4)-$C$112+IF(H706="x",1)+I706+$M$77+IF(H708="x",1)+IF(J708="x",1)+IF($M$76="x",2)+J706+IF($M$85="x",1)+IF($M$113="x",1)+IF($M$120="x",2)+IF($M$119="x",2)+IF($M$105="x",1)+IF($M$110="x",1)+IF($M$111="x",2)+IF($M$112="x",4)+IF($M$108="x",1)-IF($M$109="x",1)-IF($M$99="x",1)+IF($M$90="x",1)
&amp;"/"&amp;SUM($C$3,$I$3)+IF(H749="x",1)-10+$I$16-$B$10+$M$94+IF($C$77="x",2)-IF($C$78="x",4)-IF($I$78="x",1)-IF($I$77="x",2)-IF($I$90="x",2)+IF($I$83="x",2)-IF($C$76="x",4)-$C$112+IF(H706="x",1)+I706+$M$77+IF(H708="x",1)+IF(J708="x",1)+IF($M$76="x",2)+J706+IF($M$85="x",1)+IF($M$113="x",1)+IF($M$120="x",2)+IF($M$119="x",2)+IF($M$105="x",1)+IF($M$110="x",1)+IF($M$111="x",2)+IF($M$112="x",4)+IF($M$108="x",1)-IF($M$109="x",1)-IF($M$99="x",1)+IF($M$90="x",1)-5
&amp;"/"&amp;SUM($C$3,$I$3)+IF(H749="x",1)-10+$I$16-$B$10+$M$94+IF($C$77="x",2)-IF($C$78="x",4)-IF($I$78="x",1)-IF($I$77="x",2)-IF($I$90="x",2)+IF($I$83="x",2)-IF($C$76="x",4)-$C$112+IF(H706="x",1)+I706+$M$77+IF(H708="x",1)+IF(J708="x",1)+IF($M$76="x",2)+J706+IF($M$85="x",1)+IF($M$113="x",1)+IF($M$120="x",2)+IF($M$119="x",2)+IF($M$105="x",1)+IF($M$110="x",1)+IF($M$111="x",2)+IF($M$112="x",4)+IF($M$108="x",1)-IF($M$109="x",1)-IF($M$99="x",1)+IF($M$90="x",1)-10,
$I$3&gt;=16,SUM($C$3,$I$3)+IF(H749="x",1)-10+$I$16-$B$10+$M$94+IF($C$77="x",2)-IF($C$78="x",4)-IF($I$78="x",1)-IF($I$77="x",2)-IF($I$90="x",2)+IF($I$83="x",2)-IF($C$76="x",4)-$C$112+IF(H706="x",1)+I706+$M$77+IF(H708="x",1)+IF(J708="x",1)+IF($M$76="x",2)+J706+IF($M$85="x",1)+IF($M$113="x",1)+IF($M$120="x",2)+IF($M$119="x",2)+IF($M$105="x",1)+IF($M$110="x",1)+IF($M$111="x",2)+IF($M$112="x",4)+IF($M$108="x",1)-IF($M$109="x",1)-IF($M$99="x",1)+IF($M$90="x",1)
&amp;"/"&amp;SUM($C$3,$I$3)+IF(H749="x",1)-10+$I$16-$B$10+$M$94+IF($C$77="x",2)-IF($C$78="x",4)-IF($I$78="x",1)-IF($I$77="x",2)-IF($I$90="x",2)+IF($I$83="x",2)-IF($C$76="x",4)-$C$112+IF(H706="x",1)+I706+$M$77+IF(H708="x",1)+IF(J708="x",1)+IF($M$76="x",2)+J706+IF($M$85="x",1)+IF($M$113="x",1)+IF($M$120="x",2)+IF($M$119="x",2)+IF($M$105="x",1)+IF($M$110="x",1)+IF($M$111="x",2)+IF($M$112="x",4)+IF($M$108="x",1)-IF($M$109="x",1)-IF($M$99="x",1)+IF($M$90="x",1)-5
&amp;"/"&amp;SUM($C$3,$I$3)+IF(H749="x",1)-10+$I$16-$B$10+$M$94+IF($C$77="x",2)-IF($C$78="x",4)-IF($I$78="x",1)-IF($I$77="x",2)-IF($I$90="x",2)+IF($I$83="x",2)-IF($C$76="x",4)-$C$112+IF(H706="x",1)+I706+$M$77+IF(H708="x",1)+IF(J708="x",1)+IF($M$76="x",2)+J706+IF($M$85="x",1)+IF($M$113="x",1)+IF($M$120="x",2)+IF($M$119="x",2)+IF($M$105="x",1)+IF($M$110="x",1)+IF($M$111="x",2)+IF($M$112="x",4)+IF($M$108="x",1)-IF($M$109="x",1)-IF($M$99="x",1)+IF($M$90="x",1)-10
&amp;"/"&amp;SUM($C$3,$I$3)+IF(H749="x",1)-10+$I$16-$B$10+$M$94+IF($C$77="x",2)-IF($C$78="x",4)-IF($I$78="x",1)-IF($I$77="x",2)-IF($I$90="x",2)+IF($I$83="x",2)-IF($C$76="x",4)-$C$112+IF(H706="x",1)+I706+$M$77+IF(H708="x",1)+IF(J708="x",1)+IF($M$76="x",2)+J706+IF($M$85="x",1)+IF($M$113="x",1)+IF($M$120="x",2)+IF($M$119="x",2)+IF($M$105="x",1)+IF($M$110="x",1)+IF($M$111="x",2)+IF($M$112="x",4)+IF($M$108="x",1)-IF($M$109="x",1)-IF($M$99="x",1)+IF($M$90="x",1)-15)</f>
        <v>-10</v>
      </c>
      <c r="C750" s="82"/>
      <c r="D750" s="121"/>
      <c r="E750" s="82"/>
      <c r="F750" s="82"/>
      <c r="G750" s="82"/>
      <c r="H750" s="82"/>
      <c r="I750" s="25"/>
      <c r="J750" s="64"/>
      <c r="K750" s="64"/>
      <c r="AB750" s="62"/>
      <c r="AC750" s="53"/>
      <c r="AD750" s="49"/>
      <c r="AE750" s="51"/>
      <c r="AF750" s="49"/>
      <c r="AG750" s="49"/>
      <c r="AH750" s="49"/>
      <c r="AI750" s="48"/>
      <c r="AJ750" s="48"/>
    </row>
    <row r="751" spans="1:38" x14ac:dyDescent="0.2">
      <c r="A751" s="126">
        <f>A745*7</f>
        <v>210</v>
      </c>
      <c r="B751" s="121">
        <f>_xlfn.IFS($I$85="x","PAINISSA",
I749="x",SUM($C$3,$I$3)+IF(H749="x",1)+$I$16-$B$10+$M$94+IF($C$77="x",2)-IF($C$78="x",4)-IF($I$78="x",1)-IF($I$77="x",2)-IF($I$90="x",2)+IF($I$83="x",2)-IF($C$76="x",4)-$C$112+IF(H706="x",1)+I706+$M$77+IF(H708="x",1)+IF(J708="x",1)+IF($M$76="x",2)+J706+IF($M$85="x",1)+IF($M$113="x",1)+IF($M$120="x",2)+IF($M$119="x",2)+IF($M$105="x",1)+IF($M$110="x",1)+IF($M$111="x",2)+IF($M$112="x",4)+IF($M$108="x",1)-IF($M$109="x",1)-IF($M$99="x",1)+IF($M$90="x",1)-2-12,
J749="x",SUM($C$3,$I$3)+IF(H749="x",1)+$I$16-$B$10+$M$94+IF($C$77="x",2)-IF($C$78="x",4)-IF($I$78="x",1)-IF($I$77="x",2)-IF($I$90="x",2)+IF($I$83="x",2)-IF($C$76="x",4)-$C$112+IF(H706="x",1)+I706+$M$77+IF(H708="x",1)+IF(J708="x",1)+IF($M$76="x",2)+J706+IF($M$85="x",1)+IF($M$113="x",1)+IF($M$120="x",2)+IF($M$119="x",2)+IF($M$105="x",1)+IF($M$110="x",1)+IF($M$111="x",2)+IF($M$112="x",4)+IF($M$108="x",1)-IF($M$109="x",1)-IF($M$99="x",1)+IF($M$90="x",1)-IF($C$97="x",2,4)-12
&amp;"/"&amp;SUM($C$3,$I$3)+IF(H749="x",1)+$I$16-$B$10+$M$94+IF($C$77="x",2)-IF($C$78="x",4)-IF($I$78="x",1)-IF($I$77="x",2)-IF($I$90="x",2)+IF($I$83="x",2)-IF($C$76="x",4)-$C$112+IF(H706="x",1)+I706+$M$77+IF(H708="x",1)+IF(J708="x",1)+IF($M$76="x",2)+J706+IF($M$85="x",1)+IF($M$113="x",1)+IF($M$120="x",2)+IF($M$119="x",2)+IF($M$105="x",1)+IF($M$110="x",1)+IF($M$111="x",2)+IF($M$112="x",4)+IF($M$108="x",1)-IF($M$109="x",1)-IF($M$99="x",1)+IF($M$90="x",1)-IF($C$97="x",2,8)-12,
$C$105&lt;&gt;"x",SUM($C$3,$I$3)+IF(H749="x",1)-12+$I$16-$B$10+$M$94+IF($C$77="x",2)-IF($C$78="x",4)-IF($I$78="x",1)-IF($I$77="x",2)-IF($I$90="x",2)+IF($I$83="x",2)-IF($C$76="x",4)-$C$112+IF(H706="x",1)+I706+$M$77+IF(H708="x",1)+IF(J708="x",1)+IF($M$76="x",2)+J706+IF($M$85="x",1)+IF($M$113="x",1)+IF($M$120="x",2)+IF($M$119="x",2)+IF($M$105="x",1)+IF($M$110="x",1)+IF($M$111="x",2)+IF($M$112="x",4)+IF($M$108="x",1)-IF($M$109="x",1)-IF($M$99="x",1)+IF($M$90="x",1),
$I$3&lt;6,SUM($C$3,$I$3)+IF(H749="x",1)-12+$I$16-$B$10+$M$94+IF($C$77="x",2)-IF($C$78="x",4)-IF($I$78="x",1)-IF($I$77="x",2)-IF($I$90="x",2)+IF($I$83="x",2)-IF($C$76="x",4)-$C$112+IF(H706="x",1)+I706+$M$77+IF(H708="x",1)+IF(J708="x",1)+IF($M$76="x",2)+J706+IF($M$85="x",1)+IF($M$113="x",1)+IF($M$120="x",2)+IF($M$119="x",2)+IF($M$105="x",1)+IF($M$110="x",1)+IF($M$111="x",2)+IF($M$112="x",4)+IF($M$108="x",1)-IF($M$109="x",1)-IF($M$99="x",1)+IF($M$90="x",1),
$I$3&lt;11,SUM($C$3,$I$3)+IF(H749="x",1)-12+$I$16-$B$10+$M$94+IF($C$77="x",2)-IF($C$78="x",4)-IF($I$78="x",1)-IF($I$77="x",2)-IF($I$90="x",2)+IF($I$83="x",2)-IF($C$76="x",4)-$C$112+IF(H706="x",1)+I706+$M$77+IF(H708="x",1)+IF(J708="x",1)+IF($M$76="x",2)+J706+IF($M$85="x",1)+IF($M$113="x",1)+IF($M$120="x",2)+IF($M$119="x",2)+IF($M$105="x",1)+IF($M$110="x",1)+IF($M$111="x",2)+IF($M$112="x",4)+IF($M$108="x",1)-IF($M$109="x",1)-IF($M$99="x",1)+IF($M$90="x",1)
&amp;"/"&amp;SUM($C$3,$I$3)+IF(H749="x",1)-12+$I$16-$B$10+$M$94+IF($C$77="x",2)-IF($C$78="x",4)-IF($I$78="x",1)-IF($I$77="x",2)-IF($I$90="x",2)+IF($I$83="x",2)-IF($C$76="x",4)-$C$112+IF(H706="x",1)+I706+$M$77+IF(H708="x",1)+IF(J708="x",1)+IF($M$76="x",2)+J706+IF($M$85="x",1)+IF($M$113="x",1)+IF($M$120="x",2)+IF($M$119="x",2)+IF($M$105="x",1)+IF($M$110="x",1)+IF($M$111="x",2)+IF($M$112="x",4)+IF($M$108="x",1)-IF($M$109="x",1)-IF($M$99="x",1)+IF($M$90="x",1)-5,
$I$3&lt;16,SUM($C$3,$I$3)+IF(H749="x",1)-12+$I$16-$B$10+$M$94+IF($C$77="x",2)-IF($C$78="x",4)-IF($I$78="x",1)-IF($I$77="x",2)-IF($I$90="x",2)+IF($I$83="x",2)-IF($C$76="x",4)-$C$112+IF(H706="x",1)+I706+$M$77+IF(H708="x",1)+IF(J708="x",1)+IF($M$76="x",2)+J706+IF($M$85="x",1)+IF($M$113="x",1)+IF($M$120="x",2)+IF($M$119="x",2)+IF($M$105="x",1)+IF($M$110="x",1)+IF($M$111="x",2)+IF($M$112="x",4)+IF($M$108="x",1)-IF($M$109="x",1)-IF($M$99="x",1)+IF($M$90="x",1)
&amp;"/"&amp;SUM($C$3,$I$3)+IF(H749="x",1)-12+$I$16-$B$10+$M$94+IF($C$77="x",2)-IF($C$78="x",4)-IF($I$78="x",1)-IF($I$77="x",2)-IF($I$90="x",2)+IF($I$83="x",2)-IF($C$76="x",4)-$C$112+IF(H706="x",1)+I706+$M$77+IF(H708="x",1)+IF(J708="x",1)+IF($M$76="x",2)+J706+IF($M$85="x",1)+IF($M$113="x",1)+IF($M$120="x",2)+IF($M$119="x",2)+IF($M$105="x",1)+IF($M$110="x",1)+IF($M$111="x",2)+IF($M$112="x",4)+IF($M$108="x",1)-IF($M$109="x",1)-IF($M$99="x",1)+IF($M$90="x",1)-5
&amp;"/"&amp;SUM($C$3,$I$3)+IF(H749="x",1)-12+$I$16-$B$10+$M$94+IF($C$77="x",2)-IF($C$78="x",4)-IF($I$78="x",1)-IF($I$77="x",2)-IF($I$90="x",2)+IF($I$83="x",2)-IF($C$76="x",4)-$C$112+IF(H706="x",1)+I706+$M$77+IF(H708="x",1)+IF(J708="x",1)+IF($M$76="x",2)+J706+IF($M$85="x",1)+IF($M$113="x",1)+IF($M$120="x",2)+IF($M$119="x",2)+IF($M$105="x",1)+IF($M$110="x",1)+IF($M$111="x",2)+IF($M$112="x",4)+IF($M$108="x",1)-IF($M$109="x",1)-IF($M$99="x",1)+IF($M$90="x",1)-10,
$I$3&gt;=16,SUM($C$3,$I$3)+IF(H749="x",1)-12+$I$16-$B$10+$M$94+IF($C$77="x",2)-IF($C$78="x",4)-IF($I$78="x",1)-IF($I$77="x",2)-IF($I$90="x",2)+IF($I$83="x",2)-IF($C$76="x",4)-$C$112+IF(H706="x",1)+I706+$M$77+IF(H708="x",1)+IF(J708="x",1)+IF($M$76="x",2)+J706+IF($M$85="x",1)+IF($M$113="x",1)+IF($M$120="x",2)+IF($M$119="x",2)+IF($M$105="x",1)+IF($M$110="x",1)+IF($M$111="x",2)+IF($M$112="x",4)+IF($M$108="x",1)-IF($M$109="x",1)-IF($M$99="x",1)+IF($M$90="x",1)
&amp;"/"&amp;SUM($C$3,$I$3)+IF(H749="x",1)-12+$I$16-$B$10+$M$94+IF($C$77="x",2)-IF($C$78="x",4)-IF($I$78="x",1)-IF($I$77="x",2)-IF($I$90="x",2)+IF($I$83="x",2)-IF($C$76="x",4)-$C$112+IF(H706="x",1)+I706+$M$77+IF(H708="x",1)+IF(J708="x",1)+IF($M$76="x",2)+J706+IF($M$85="x",1)+IF($M$113="x",1)+IF($M$120="x",2)+IF($M$119="x",2)+IF($M$105="x",1)+IF($M$110="x",1)+IF($M$111="x",2)+IF($M$112="x",4)+IF($M$108="x",1)-IF($M$109="x",1)-IF($M$99="x",1)+IF($M$90="x",1)-5
&amp;"/"&amp;SUM($C$3,$I$3)+IF(H749="x",1)-12+$I$16-$B$10+$M$94+IF($C$77="x",2)-IF($C$78="x",4)-IF($I$78="x",1)-IF($I$77="x",2)-IF($I$90="x",2)+IF($I$83="x",2)-IF($C$76="x",4)-$C$112+IF(H706="x",1)+I706+$M$77+IF(H708="x",1)+IF(J708="x",1)+IF($M$76="x",2)+J706+IF($M$85="x",1)+IF($M$113="x",1)+IF($M$120="x",2)+IF($M$119="x",2)+IF($M$105="x",1)+IF($M$110="x",1)+IF($M$111="x",2)+IF($M$112="x",4)+IF($M$108="x",1)-IF($M$109="x",1)-IF($M$99="x",1)+IF($M$90="x",1)-10
&amp;"/"&amp;SUM($C$3,$I$3)+IF(H749="x",1)-12+$I$16-$B$10+$M$94+IF($C$77="x",2)-IF($C$78="x",4)-IF($I$78="x",1)-IF($I$77="x",2)-IF($I$90="x",2)+IF($I$83="x",2)-IF($C$76="x",4)-$C$112+IF(H706="x",1)+I706+$M$77+IF(H708="x",1)+IF(J708="x",1)+IF($M$76="x",2)+J706+IF($M$85="x",1)+IF($M$113="x",1)+IF($M$120="x",2)+IF($M$119="x",2)+IF($M$105="x",1)+IF($M$110="x",1)+IF($M$111="x",2)+IF($M$112="x",4)+IF($M$108="x",1)-IF($M$109="x",1)-IF($M$99="x",1)+IF($M$90="x",1)-15)</f>
        <v>-12</v>
      </c>
      <c r="C751" s="82"/>
      <c r="D751" s="121"/>
      <c r="E751" s="82"/>
      <c r="F751" s="82"/>
      <c r="G751" s="82"/>
      <c r="H751" s="82"/>
      <c r="J751" s="64"/>
      <c r="K751" s="64"/>
      <c r="AB751" s="59"/>
      <c r="AC751" s="51"/>
      <c r="AD751" s="49"/>
      <c r="AE751" s="51"/>
      <c r="AF751" s="49"/>
      <c r="AG751" s="49"/>
      <c r="AH751" s="49"/>
      <c r="AI751" s="40"/>
      <c r="AJ751" s="40"/>
      <c r="AL751" s="50"/>
    </row>
    <row r="752" spans="1:38" x14ac:dyDescent="0.2">
      <c r="A752" s="127">
        <f>A745*8</f>
        <v>240</v>
      </c>
      <c r="B752" s="123">
        <f>_xlfn.IFS($I$85="x","PAINISSA",
I749="x",SUM($C$3,$I$3)+IF(H749="x",1)+$I$16-$B$10+$M$94+IF($C$77="x",2)-IF($C$78="x",4)-IF($I$78="x",1)-IF($I$77="x",2)-IF($I$90="x",2)+IF($I$83="x",2)-IF($C$76="x",4)-$C$112+IF(H706="x",1)+I706+$M$77+IF(H708="x",1)+IF(J708="x",1)+IF($M$76="x",2)+J706+IF($M$85="x",1)+IF($M$113="x",1)+IF($M$120="x",2)+IF($M$119="x",2)+IF($M$105="x",1)+IF($M$110="x",1)+IF($M$111="x",2)+IF($M$112="x",4)+IF($M$108="x",1)-IF($M$109="x",1)-IF($M$99="x",1)+IF($M$90="x",1)-2-14,
J749="x",SUM($C$3,$I$3)+IF(H749="x",1)+$I$16-$B$10+$M$94+IF($C$77="x",2)-IF($C$78="x",4)-IF($I$78="x",1)-IF($I$77="x",2)-IF($I$90="x",2)+IF($I$83="x",2)-IF($C$76="x",4)-$C$112+IF(H706="x",1)+I706+$M$77+IF(H708="x",1)+IF(J708="x",1)+IF($M$76="x",2)+J706+IF($M$85="x",1)+IF($M$113="x",1)+IF($M$120="x",2)+IF($M$119="x",2)+IF($M$105="x",1)+IF($M$110="x",1)+IF($M$111="x",2)+IF($M$112="x",4)+IF($M$108="x",1)-IF($M$109="x",1)-IF($M$99="x",1)+IF($M$90="x",1)-IF($C$97="x",2,4)-14
&amp;"/"&amp;SUM($C$3,$I$3)+IF(H749="x",1)+$I$16-$B$10+$M$94+IF($C$77="x",2)-IF($C$78="x",4)-IF($I$78="x",1)-IF($I$77="x",2)-IF($I$90="x",2)+IF($I$83="x",2)-IF($C$76="x",4)-$C$112+IF(H706="x",1)+I706+$M$77+IF(H708="x",1)+IF(J708="x",1)+IF($M$76="x",2)+J706+IF($M$85="x",1)+IF($M$113="x",1)+IF($M$120="x",2)+IF($M$119="x",2)+IF($M$105="x",1)+IF($M$110="x",1)+IF($M$111="x",2)+IF($M$112="x",4)+IF($M$108="x",1)-IF($M$109="x",1)-IF($M$99="x",1)+IF($M$90="x",1)-IF($C$97="x",2,8)-14,
$C$105&lt;&gt;"x",SUM($C$3,$I$3)+IF(H749="x",1)-14+$I$16-$B$10+$M$94+IF($C$77="x",2)-IF($C$78="x",4)-IF($I$78="x",1)-IF($I$77="x",2)-IF($I$90="x",2)+IF($I$83="x",2)-IF($C$76="x",4)-$C$112+IF(H706="x",1)+I706+$M$77+IF(H708="x",1)+IF(J708="x",1)+IF($M$76="x",2)+J706+IF($M$85="x",1)+IF($M$113="x",1)+IF($M$120="x",2)+IF($M$119="x",2)+IF($M$105="x",1)+IF($M$110="x",1)+IF($M$111="x",2)+IF($M$112="x",4)+IF($M$108="x",1)-IF($M$109="x",1)-IF($M$99="x",1)+IF($M$90="x",1),
$I$3&lt;6,SUM($C$3,$I$3)+IF(H749="x",1)-14+$I$16-$B$10+$M$94+IF($C$77="x",2)-IF($C$78="x",4)-IF($I$78="x",1)-IF($I$77="x",2)-IF($I$90="x",2)+IF($I$83="x",2)-IF($C$76="x",4)-$C$112+IF(H706="x",1)+I706+$M$77+IF(H708="x",1)+IF(J708="x",1)+IF($M$76="x",2)+J706+IF($M$85="x",1)+IF($M$113="x",1)+IF($M$120="x",2)+IF($M$119="x",2)+IF($M$105="x",1)+IF($M$110="x",1)+IF($M$111="x",2)+IF($M$112="x",4)+IF($M$108="x",1)-IF($M$109="x",1)-IF($M$99="x",1)+IF($M$90="x",1),
$I$3&lt;11,SUM($C$3,$I$3)+IF(H749="x",1)-14+$I$16-$B$10+$M$94+IF($C$77="x",2)-IF($C$78="x",4)-IF($I$78="x",1)-IF($I$77="x",2)-IF($I$90="x",2)+IF($I$83="x",2)-IF($C$76="x",4)-$C$112+IF(H706="x",1)+I706+$M$77+IF(H708="x",1)+IF(J708="x",1)+IF($M$76="x",2)+J706+IF($M$85="x",1)+IF($M$113="x",1)+IF($M$120="x",2)+IF($M$119="x",2)+IF($M$105="x",1)+IF($M$110="x",1)+IF($M$111="x",2)+IF($M$112="x",4)+IF($M$108="x",1)-IF($M$109="x",1)-IF($M$99="x",1)+IF($M$90="x",1)
&amp;"/"&amp;SUM($C$3,$I$3)+IF(H749="x",1)-14+$I$16-$B$10+$M$94+IF($C$77="x",2)-IF($C$78="x",4)-IF($I$78="x",1)-IF($I$77="x",2)-IF($I$90="x",2)+IF($I$83="x",2)-IF($C$76="x",4)-$C$112+IF(H706="x",1)+I706+$M$77+IF(H708="x",1)+IF(J708="x",1)+IF($M$76="x",2)+J706+IF($M$85="x",1)+IF($M$113="x",1)+IF($M$120="x",2)+IF($M$119="x",2)+IF($M$105="x",1)+IF($M$110="x",1)+IF($M$111="x",2)+IF($M$112="x",4)+IF($M$108="x",1)-IF($M$109="x",1)-IF($M$99="x",1)+IF($M$90="x",1)-5,
$I$3&lt;16,SUM($C$3,$I$3)+IF(H749="x",1)-14+$I$16-$B$10+$M$94+IF($C$77="x",2)-IF($C$78="x",4)-IF($I$78="x",1)-IF($I$77="x",2)-IF($I$90="x",2)+IF($I$83="x",2)-IF($C$76="x",4)-$C$112+IF(H706="x",1)+I706+$M$77+IF(H708="x",1)+IF(J708="x",1)+IF($M$76="x",2)+J706+IF($M$85="x",1)+IF($M$113="x",1)+IF($M$120="x",2)+IF($M$119="x",2)+IF($M$105="x",1)+IF($M$110="x",1)+IF($M$111="x",2)+IF($M$112="x",4)+IF($M$108="x",1)-IF($M$109="x",1)-IF($M$99="x",1)+IF($M$90="x",1)
&amp;"/"&amp;SUM($C$3,$I$3)+IF(H749="x",1)-14+$I$16-$B$10+$M$94+IF($C$77="x",2)-IF($C$78="x",4)-IF($I$78="x",1)-IF($I$77="x",2)-IF($I$90="x",2)+IF($I$83="x",2)-IF($C$76="x",4)-$C$112+IF(H706="x",1)+I706+$M$77+IF(H708="x",1)+IF(J708="x",1)+IF($M$76="x",2)+J706+IF($M$85="x",1)+IF($M$113="x",1)+IF($M$120="x",2)+IF($M$119="x",2)+IF($M$105="x",1)+IF($M$110="x",1)+IF($M$111="x",2)+IF($M$112="x",4)+IF($M$108="x",1)-IF($M$109="x",1)-IF($M$99="x",1)+IF($M$90="x",1)-5
&amp;"/"&amp;SUM($C$3,$I$3)+IF(H749="x",1)-14+$I$16-$B$10+$M$94+IF($C$77="x",2)-IF($C$78="x",4)-IF($I$78="x",1)-IF($I$77="x",2)-IF($I$90="x",2)+IF($I$83="x",2)-IF($C$76="x",4)-$C$112+IF(H706="x",1)+I706+$M$77+IF(H708="x",1)+IF(J708="x",1)+IF($M$76="x",2)+J706+IF($M$85="x",1)+IF($M$113="x",1)+IF($M$120="x",2)+IF($M$119="x",2)+IF($M$105="x",1)+IF($M$110="x",1)+IF($M$111="x",2)+IF($M$112="x",4)+IF($M$108="x",1)-IF($M$109="x",1)-IF($M$99="x",1)+IF($M$90="x",1)-10,
$I$3&gt;=16,SUM($C$3,$I$3)+IF(H749="x",1)-14+$I$16-$B$10+$M$94+IF($C$77="x",2)-IF($C$78="x",4)-IF($I$78="x",1)-IF($I$77="x",2)-IF($I$90="x",2)+IF($I$83="x",2)-IF($C$76="x",4)-$C$112+IF(H706="x",1)+I706+$M$77+IF(H708="x",1)+IF(J708="x",1)+IF($M$76="x",2)+J706+IF($M$85="x",1)+IF($M$113="x",1)+IF($M$120="x",2)+IF($M$119="x",2)+IF($M$105="x",1)+IF($M$110="x",1)+IF($M$111="x",2)+IF($M$112="x",4)+IF($M$108="x",1)-IF($M$109="x",1)-IF($M$99="x",1)+IF($M$90="x",1)
&amp;"/"&amp;SUM($C$3,$I$3)+IF(H749="x",1)-14+$I$16-$B$10+$M$94+IF($C$77="x",2)-IF($C$78="x",4)-IF($I$78="x",1)-IF($I$77="x",2)-IF($I$90="x",2)+IF($I$83="x",2)-IF($C$76="x",4)-$C$112+IF(H706="x",1)+I706+$M$77+IF(H708="x",1)+IF(J708="x",1)+IF($M$76="x",2)+J706+IF($M$85="x",1)+IF($M$113="x",1)+IF($M$120="x",2)+IF($M$119="x",2)+IF($M$105="x",1)+IF($M$110="x",1)+IF($M$111="x",2)+IF($M$112="x",4)+IF($M$108="x",1)-IF($M$109="x",1)-IF($M$99="x",1)+IF($M$90="x",1)-5
&amp;"/"&amp;SUM($C$3,$I$3)+IF(H749="x",1)-14+$I$16-$B$10+$M$94+IF($C$77="x",2)-IF($C$78="x",4)-IF($I$78="x",1)-IF($I$77="x",2)-IF($I$90="x",2)+IF($I$83="x",2)-IF($C$76="x",4)-$C$112+IF(H706="x",1)+I706+$M$77+IF(H708="x",1)+IF(J708="x",1)+IF($M$76="x",2)+J706+IF($M$85="x",1)+IF($M$113="x",1)+IF($M$120="x",2)+IF($M$119="x",2)+IF($M$105="x",1)+IF($M$110="x",1)+IF($M$111="x",2)+IF($M$112="x",4)+IF($M$108="x",1)-IF($M$109="x",1)-IF($M$99="x",1)+IF($M$90="x",1)-10
&amp;"/"&amp;SUM($C$3,$I$3)+IF(H749="x",1)-14+$I$16-$B$10+$M$94+IF($C$77="x",2)-IF($C$78="x",4)-IF($I$78="x",1)-IF($I$77="x",2)-IF($I$90="x",2)+IF($I$83="x",2)-IF($C$76="x",4)-$C$112+IF(H706="x",1)+I706+$M$77+IF(H708="x",1)+IF(J708="x",1)+IF($M$76="x",2)+J706+IF($M$85="x",1)+IF($M$113="x",1)+IF($M$120="x",2)+IF($M$119="x",2)+IF($M$105="x",1)+IF($M$110="x",1)+IF($M$111="x",2)+IF($M$112="x",4)+IF($M$108="x",1)-IF($M$109="x",1)-IF($M$99="x",1)+IF($M$90="x",1)-15)</f>
        <v>-14</v>
      </c>
      <c r="C752" s="82"/>
      <c r="D752" s="121"/>
      <c r="E752" s="82"/>
      <c r="F752" s="82"/>
      <c r="G752" s="82"/>
      <c r="H752" s="82"/>
      <c r="I752" s="82"/>
      <c r="J752" s="64"/>
      <c r="K752" s="64"/>
      <c r="AB752" s="62"/>
      <c r="AC752" s="53"/>
      <c r="AD752" s="49"/>
      <c r="AE752" s="51"/>
      <c r="AF752" s="49"/>
      <c r="AG752" s="49"/>
      <c r="AH752" s="49"/>
      <c r="AI752" s="49"/>
      <c r="AJ752" s="50"/>
      <c r="AK752" s="65"/>
      <c r="AL752" s="65"/>
    </row>
    <row r="753" spans="1:38" x14ac:dyDescent="0.2">
      <c r="A753" s="126">
        <f>A745*9</f>
        <v>270</v>
      </c>
      <c r="B753" s="121">
        <f>_xlfn.IFS($I$85="x","PAINISSA",
I749="x",SUM($C$3,$I$3)+IF(H749="x",1)+$I$16-$B$10+$M$94+IF($C$77="x",2)-IF($C$78="x",4)-IF($I$78="x",1)-IF($I$77="x",2)-IF($I$90="x",2)+IF($I$83="x",2)-IF($C$76="x",4)-$C$112+IF(H706="x",1)+I706+$M$77+IF(H708="x",1)+IF(J708="x",1)+IF($M$76="x",2)+J706+IF($M$85="x",1)+IF($M$113="x",1)+IF($M$120="x",2)+IF($M$119="x",2)+IF($M$105="x",1)+IF($M$110="x",1)+IF($M$111="x",2)+IF($M$112="x",4)+IF($M$108="x",1)-IF($M$109="x",1)-IF($M$99="x",1)+IF($M$90="x",1)-2-16,
J749="x",SUM($C$3,$I$3)+IF(H749="x",1)+$I$16-$B$10+$M$94+IF($C$77="x",2)-IF($C$78="x",4)-IF($I$78="x",1)-IF($I$77="x",2)-IF($I$90="x",2)+IF($I$83="x",2)-IF($C$76="x",4)-$C$112+IF(H706="x",1)+I706+$M$77+IF(H708="x",1)+IF(J708="x",1)+IF($M$76="x",2)+J706+IF($M$85="x",1)+IF($M$113="x",1)+IF($M$120="x",2)+IF($M$119="x",2)+IF($M$105="x",1)+IF($M$110="x",1)+IF($M$111="x",2)+IF($M$112="x",4)+IF($M$108="x",1)-IF($M$109="x",1)-IF($M$99="x",1)+IF($M$90="x",1)-IF($C$97="x",2,4)-16
&amp;"/"&amp;SUM($C$3,$I$3)+IF(H749="x",1)+$I$16-$B$10+$M$94+IF($C$77="x",2)-IF($C$78="x",4)-IF($I$78="x",1)-IF($I$77="x",2)-IF($I$90="x",2)+IF($I$83="x",2)-IF($C$76="x",4)-$C$112+IF(H706="x",1)+I706+$M$77+IF(H708="x",1)+IF(J708="x",1)+IF($M$76="x",2)+J706+IF($M$85="x",1)+IF($M$113="x",1)+IF($M$120="x",2)+IF($M$119="x",2)+IF($M$105="x",1)+IF($M$110="x",1)+IF($M$111="x",2)+IF($M$112="x",4)+IF($M$108="x",1)-IF($M$109="x",1)-IF($M$99="x",1)+IF($M$90="x",1)-IF($C$97="x",2,8)-16,
$C$105&lt;&gt;"x",SUM($C$3,$I$3)+IF(H749="x",1)-16+$I$16-$B$10+$M$94+IF($C$77="x",2)-IF($C$78="x",4)-IF($I$78="x",1)-IF($I$77="x",2)-IF($I$90="x",2)+IF($I$83="x",2)-IF($C$76="x",4)-$C$112+IF(H706="x",1)+I706+$M$77+IF(H708="x",1)+IF(J708="x",1)+IF($M$76="x",2)+J706+IF($M$85="x",1)+IF($M$113="x",1)+IF($M$120="x",2)+IF($M$119="x",2)+IF($M$105="x",1)+IF($M$110="x",1)+IF($M$111="x",2)+IF($M$112="x",4)+IF($M$108="x",1)-IF($M$109="x",1)-IF($M$99="x",1)+IF($M$90="x",1),
$I$3&lt;6,SUM($C$3,$I$3)+IF(H749="x",1)-16+$I$16-$B$10+$M$94+IF($C$77="x",2)-IF($C$78="x",4)-IF($I$78="x",1)-IF($I$77="x",2)-IF($I$90="x",2)+IF($I$83="x",2)-IF($C$76="x",4)-$C$112+IF(H706="x",1)+I706+$M$77+IF(H708="x",1)+IF(J708="x",1)+IF($M$76="x",2)+J706+IF($M$85="x",1)+IF($M$113="x",1)+IF($M$120="x",2)+IF($M$119="x",2)+IF($M$105="x",1)+IF($M$110="x",1)+IF($M$111="x",2)+IF($M$112="x",4)+IF($M$108="x",1)-IF($M$109="x",1)-IF($M$99="x",1)+IF($M$90="x",1),
$I$3&lt;11,SUM($C$3,$I$3)+IF(H749="x",1)-16+$I$16-$B$10+$M$94+IF($C$77="x",2)-IF($C$78="x",4)-IF($I$78="x",1)-IF($I$77="x",2)-IF($I$90="x",2)+IF($I$83="x",2)-IF($C$76="x",4)-$C$112+IF(H706="x",1)+I706+$M$77+IF(H708="x",1)+IF(J708="x",1)+IF($M$76="x",2)+J706+IF($M$85="x",1)+IF($M$113="x",1)+IF($M$120="x",2)+IF($M$119="x",2)+IF($M$105="x",1)+IF($M$110="x",1)+IF($M$111="x",2)+IF($M$112="x",4)+IF($M$108="x",1)-IF($M$109="x",1)-IF($M$99="x",1)+IF($M$90="x",1)
&amp;"/"&amp;SUM($C$3,$I$3)+IF(H749="x",1)-16+$I$16-$B$10+$M$94+IF($C$77="x",2)-IF($C$78="x",4)-IF($I$78="x",1)-IF($I$77="x",2)-IF($I$90="x",2)+IF($I$83="x",2)-IF($C$76="x",4)-$C$112+IF(H706="x",1)+I706+$M$77+IF(H708="x",1)+IF(J708="x",1)+IF($M$76="x",2)+J706+IF($M$85="x",1)+IF($M$113="x",1)+IF($M$120="x",2)+IF($M$119="x",2)+IF($M$105="x",1)+IF($M$110="x",1)+IF($M$111="x",2)+IF($M$112="x",4)+IF($M$108="x",1)-IF($M$109="x",1)-IF($M$99="x",1)+IF($M$90="x",1)-5,
$I$3&lt;16,SUM($C$3,$I$3)+IF(H749="x",1)-16+$I$16-$B$10+$M$94+IF($C$77="x",2)-IF($C$78="x",4)-IF($I$78="x",1)-IF($I$77="x",2)-IF($I$90="x",2)+IF($I$83="x",2)-IF($C$76="x",4)-$C$112+IF(H706="x",1)+I706+$M$77+IF(H708="x",1)+IF(J708="x",1)+IF($M$76="x",2)+J706+IF($M$85="x",1)+IF($M$113="x",1)+IF($M$120="x",2)+IF($M$119="x",2)+IF($M$105="x",1)+IF($M$110="x",1)+IF($M$111="x",2)+IF($M$112="x",4)+IF($M$108="x",1)-IF($M$109="x",1)-IF($M$99="x",1)+IF($M$90="x",1)
&amp;"/"&amp;SUM($C$3,$I$3)+IF(H749="x",1)-16+$I$16-$B$10+$M$94+IF($C$77="x",2)-IF($C$78="x",4)-IF($I$78="x",1)-IF($I$77="x",2)-IF($I$90="x",2)+IF($I$83="x",2)-IF($C$76="x",4)-$C$112+IF(H706="x",1)+I706+$M$77+IF(H708="x",1)+IF(J708="x",1)+IF($M$76="x",2)+J706+IF($M$85="x",1)+IF($M$113="x",1)+IF($M$120="x",2)+IF($M$119="x",2)+IF($M$105="x",1)+IF($M$110="x",1)+IF($M$111="x",2)+IF($M$112="x",4)+IF($M$108="x",1)-IF($M$109="x",1)-IF($M$99="x",1)+IF($M$90="x",1)-5
&amp;"/"&amp;SUM($C$3,$I$3)+IF(H749="x",1)-16+$I$16-$B$10+$M$94+IF($C$77="x",2)-IF($C$78="x",4)-IF($I$78="x",1)-IF($I$77="x",2)-IF($I$90="x",2)+IF($I$83="x",2)-IF($C$76="x",4)-$C$112+IF(H706="x",1)+I706+$M$77+IF(H708="x",1)+IF(J708="x",1)+IF($M$76="x",2)+J706+IF($M$85="x",1)+IF($M$113="x",1)+IF($M$120="x",2)+IF($M$119="x",2)+IF($M$105="x",1)+IF($M$110="x",1)+IF($M$111="x",2)+IF($M$112="x",4)+IF($M$108="x",1)-IF($M$109="x",1)-IF($M$99="x",1)+IF($M$90="x",1)-10,
$I$3&gt;=16,SUM($C$3,$I$3)+IF(H749="x",1)-16+$I$16-$B$10+$M$94+IF($C$77="x",2)-IF($C$78="x",4)-IF($I$78="x",1)-IF($I$77="x",2)-IF($I$90="x",2)+IF($I$83="x",2)-IF($C$76="x",4)-$C$112+IF(H706="x",1)+I706+$M$77+IF(H708="x",1)+IF(J708="x",1)+IF($M$76="x",2)+J706+IF($M$85="x",1)+IF($M$113="x",1)+IF($M$120="x",2)+IF($M$119="x",2)+IF($M$105="x",1)+IF($M$110="x",1)+IF($M$111="x",2)+IF($M$112="x",4)+IF($M$108="x",1)-IF($M$109="x",1)-IF($M$99="x",1)+IF($M$90="x",1)
&amp;"/"&amp;SUM($C$3,$I$3)+IF(H749="x",1)-16+$I$16-$B$10+$M$94+IF($C$77="x",2)-IF($C$78="x",4)-IF($I$78="x",1)-IF($I$77="x",2)-IF($I$90="x",2)+IF($I$83="x",2)-IF($C$76="x",4)-$C$112+IF(H706="x",1)+I706+$M$77+IF(H708="x",1)+IF(J708="x",1)+IF($M$76="x",2)+J706+IF($M$85="x",1)+IF($M$113="x",1)+IF($M$120="x",2)+IF($M$119="x",2)+IF($M$105="x",1)+IF($M$110="x",1)+IF($M$111="x",2)+IF($M$112="x",4)+IF($M$108="x",1)-IF($M$109="x",1)-IF($M$99="x",1)+IF($M$90="x",1)-5
&amp;"/"&amp;SUM($C$3,$I$3)+IF(H749="x",1)-16+$I$16-$B$10+$M$94+IF($C$77="x",2)-IF($C$78="x",4)-IF($I$78="x",1)-IF($I$77="x",2)-IF($I$90="x",2)+IF($I$83="x",2)-IF($C$76="x",4)-$C$112+IF(H706="x",1)+I706+$M$77+IF(H708="x",1)+IF(J708="x",1)+IF($M$76="x",2)+J706+IF($M$85="x",1)+IF($M$113="x",1)+IF($M$120="x",2)+IF($M$119="x",2)+IF($M$105="x",1)+IF($M$110="x",1)+IF($M$111="x",2)+IF($M$112="x",4)+IF($M$108="x",1)-IF($M$109="x",1)-IF($M$99="x",1)+IF($M$90="x",1)-10
&amp;"/"&amp;SUM($C$3,$I$3)+IF(H749="x",1)-16+$I$16-$B$10+$M$94+IF($C$77="x",2)-IF($C$78="x",4)-IF($I$78="x",1)-IF($I$77="x",2)-IF($I$90="x",2)+IF($I$83="x",2)-IF($C$76="x",4)-$C$112+IF(H706="x",1)+I706+$M$77+IF(H708="x",1)+IF(J708="x",1)+IF($M$76="x",2)+J706+IF($M$85="x",1)+IF($M$113="x",1)+IF($M$120="x",2)+IF($M$119="x",2)+IF($M$105="x",1)+IF($M$110="x",1)+IF($M$111="x",2)+IF($M$112="x",4)+IF($M$108="x",1)-IF($M$109="x",1)-IF($M$99="x",1)+IF($M$90="x",1)-15)</f>
        <v>-16</v>
      </c>
      <c r="C753" s="82"/>
      <c r="D753" s="121"/>
      <c r="E753" s="82"/>
      <c r="F753" s="82"/>
      <c r="G753" s="82"/>
      <c r="H753" s="82"/>
      <c r="I753" s="155"/>
      <c r="AB753" s="59"/>
      <c r="AC753" s="51"/>
      <c r="AD753" s="49"/>
      <c r="AE753" s="51"/>
      <c r="AF753" s="49"/>
      <c r="AG753" s="49"/>
      <c r="AH753" s="49"/>
      <c r="AI753" s="49"/>
      <c r="AJ753" s="40"/>
      <c r="AK753" s="65"/>
      <c r="AL753" s="65"/>
    </row>
    <row r="754" spans="1:38" x14ac:dyDescent="0.2">
      <c r="A754" s="127">
        <f>A745*10</f>
        <v>300</v>
      </c>
      <c r="B754" s="123">
        <f>_xlfn.IFS($I$85="x","PAINISSA",
I749="x",SUM($C$3,$I$3)+IF(H749="x",1)+$I$16-$B$10+$M$94+IF($C$77="x",2)-IF($C$78="x",4)-IF($I$78="x",1)-IF($I$77="x",2)-IF($I$90="x",2)+IF($I$83="x",2)-IF($C$76="x",4)-$C$112+IF(H706="x",1)+I706+$M$77+IF(H708="x",1)+IF(J708="x",1)+IF($M$76="x",2)+J706+IF($M$85="x",1)+IF($M$113="x",1)+IF($M$120="x",2)+IF($M$119="x",2)+IF($M$105="x",1)+IF($M$110="x",1)+IF($M$111="x",2)+IF($M$112="x",4)+IF($M$108="x",1)-IF($M$109="x",1)-IF($M$99="x",1)+IF($M$90="x",1)-2-18,
J749="x",SUM($C$3,$I$3)+IF(H749="x",1)+$I$16-$B$10+$M$94+IF($C$77="x",2)-IF($C$78="x",4)-IF($I$78="x",1)-IF($I$77="x",2)-IF($I$90="x",2)+IF($I$83="x",2)-IF($C$76="x",4)-$C$112+IF(H706="x",1)+I706+$M$77+IF(H708="x",1)+IF(J708="x",1)+IF($M$76="x",2)+J706+IF($M$85="x",1)+IF($M$113="x",1)+IF($M$120="x",2)+IF($M$119="x",2)+IF($M$105="x",1)+IF($M$110="x",1)+IF($M$111="x",2)+IF($M$112="x",4)+IF($M$108="x",1)-IF($M$109="x",1)-IF($M$99="x",1)+IF($M$90="x",1)-IF($C$97="x",2,4)-18
&amp;"/"&amp;SUM($C$3,$I$3)+IF(H749="x",1)+$I$16-$B$10+$M$94+IF($C$77="x",2)-IF($C$78="x",4)-IF($I$78="x",1)-IF($I$77="x",2)-IF($I$90="x",2)+IF($I$83="x",2)-IF($C$76="x",4)-$C$112+IF(H706="x",1)+I706+$M$77+IF(H708="x",1)+IF(J708="x",1)+IF($M$76="x",2)+J706+IF($M$85="x",1)+IF($M$113="x",1)+IF($M$120="x",2)+IF($M$119="x",2)+IF($M$105="x",1)+IF($M$110="x",1)+IF($M$111="x",2)+IF($M$112="x",4)+IF($M$108="x",1)-IF($M$109="x",1)-IF($M$99="x",1)+IF($M$90="x",1)-IF($C$97="x",2,8)-18,
$C$105&lt;&gt;"x",SUM($C$3,$I$3)+IF(H749="x",1)-18+$I$16-$B$10+$M$94+IF($C$77="x",2)-IF($C$78="x",4)-IF($I$78="x",1)-IF($I$77="x",2)-IF($I$90="x",2)+IF($I$83="x",2)-IF($C$76="x",4)-$C$112+IF(H706="x",1)+I706+$M$77+IF(H708="x",1)+IF(J708="x",1)+IF($M$76="x",2)+J706+IF($M$85="x",1)+IF($M$113="x",1)+IF($M$120="x",2)+IF($M$119="x",2)+IF($M$105="x",1)+IF($M$110="x",1)+IF($M$111="x",2)+IF($M$112="x",4)+IF($M$108="x",1)-IF($M$109="x",1)-IF($M$99="x",1)+IF($M$90="x",1),
$I$3&lt;6,SUM($C$3,$I$3)+IF(H749="x",1)-18+$I$16-$B$10+$M$94+IF($C$77="x",2)-IF($C$78="x",4)-IF($I$78="x",1)-IF($I$77="x",2)-IF($I$90="x",2)+IF($I$83="x",2)-IF($C$76="x",4)-$C$112+IF(H706="x",1)+I706+$M$77+IF(H708="x",1)+IF(J708="x",1)+IF($M$76="x",2)+J706+IF($M$85="x",1)+IF($M$113="x",1)+IF($M$120="x",2)+IF($M$119="x",2)+IF($M$105="x",1)+IF($M$110="x",1)+IF($M$111="x",2)+IF($M$112="x",4)+IF($M$108="x",1)-IF($M$109="x",1)-IF($M$99="x",1)+IF($M$90="x",1),
$I$3&lt;11,SUM($C$3,$I$3)+IF(H749="x",1)-18+$I$16-$B$10+$M$94+IF($C$77="x",2)-IF($C$78="x",4)-IF($I$78="x",1)-IF($I$77="x",2)-IF($I$90="x",2)+IF($I$83="x",2)-IF($C$76="x",4)-$C$112+IF(H706="x",1)+I706+$M$77+IF(H708="x",1)+IF(J708="x",1)+IF($M$76="x",2)+J706+IF($M$85="x",1)+IF($M$113="x",1)+IF($M$120="x",2)+IF($M$119="x",2)+IF($M$105="x",1)+IF($M$110="x",1)+IF($M$111="x",2)+IF($M$112="x",4)+IF($M$108="x",1)-IF($M$109="x",1)-IF($M$99="x",1)+IF($M$90="x",1)
&amp;"/"&amp;SUM($C$3,$I$3)+IF(H749="x",1)-18+$I$16-$B$10+$M$94+IF($C$77="x",2)-IF($C$78="x",4)-IF($I$78="x",1)-IF($I$77="x",2)-IF($I$90="x",2)+IF($I$83="x",2)-IF($C$76="x",4)-$C$112+IF(H706="x",1)+I706+$M$77+IF(H708="x",1)+IF(J708="x",1)+IF($M$76="x",2)+J706+IF($M$85="x",1)+IF($M$113="x",1)+IF($M$120="x",2)+IF($M$119="x",2)+IF($M$105="x",1)+IF($M$110="x",1)+IF($M$111="x",2)+IF($M$112="x",4)+IF($M$108="x",1)-IF($M$109="x",1)-IF($M$99="x",1)+IF($M$90="x",1)-5,
$I$3&lt;16,SUM($C$3,$I$3)+IF(H749="x",1)-18+$I$16-$B$10+$M$94+IF($C$77="x",2)-IF($C$78="x",4)-IF($I$78="x",1)-IF($I$77="x",2)-IF($I$90="x",2)+IF($I$83="x",2)-IF($C$76="x",4)-$C$112+IF(H706="x",1)+I706+$M$77+IF(H708="x",1)+IF(J708="x",1)+IF($M$76="x",2)+J706+IF($M$85="x",1)+IF($M$113="x",1)+IF($M$120="x",2)+IF($M$119="x",2)+IF($M$105="x",1)+IF($M$110="x",1)+IF($M$111="x",2)+IF($M$112="x",4)+IF($M$108="x",1)-IF($M$109="x",1)-IF($M$99="x",1)+IF($M$90="x",1)
&amp;"/"&amp;SUM($C$3,$I$3)+IF(H749="x",1)-18+$I$16-$B$10+$M$94+IF($C$77="x",2)-IF($C$78="x",4)-IF($I$78="x",1)-IF($I$77="x",2)-IF($I$90="x",2)+IF($I$83="x",2)-IF($C$76="x",4)-$C$112+IF(H706="x",1)+I706+$M$77+IF(H708="x",1)+IF(J708="x",1)+IF($M$76="x",2)+J706+IF($M$85="x",1)+IF($M$113="x",1)+IF($M$120="x",2)+IF($M$119="x",2)+IF($M$105="x",1)+IF($M$110="x",1)+IF($M$111="x",2)+IF($M$112="x",4)+IF($M$108="x",1)-IF($M$109="x",1)-IF($M$99="x",1)+IF($M$90="x",1)-5
&amp;"/"&amp;SUM($C$3,$I$3)+IF(H749="x",1)-18+$I$16-$B$10+$M$94+IF($C$77="x",2)-IF($C$78="x",4)-IF($I$78="x",1)-IF($I$77="x",2)-IF($I$90="x",2)+IF($I$83="x",2)-IF($C$76="x",4)-$C$112+IF(H706="x",1)+I706+$M$77+IF(H708="x",1)+IF(J708="x",1)+IF($M$76="x",2)+J706+IF($M$85="x",1)+IF($M$113="x",1)+IF($M$120="x",2)+IF($M$119="x",2)+IF($M$105="x",1)+IF($M$110="x",1)+IF($M$111="x",2)+IF($M$112="x",4)+IF($M$108="x",1)-IF($M$109="x",1)-IF($M$99="x",1)+IF($M$90="x",1)-10,
$I$3&gt;=16,SUM($C$3,$I$3)+IF(H749="x",1)-18+$I$16-$B$10+$M$94+IF($C$77="x",2)-IF($C$78="x",4)-IF($I$78="x",1)-IF($I$77="x",2)-IF($I$90="x",2)+IF($I$83="x",2)-IF($C$76="x",4)-$C$112+IF(H706="x",1)+I706+$M$77+IF(H708="x",1)+IF(J708="x",1)+IF($M$76="x",2)+J706+IF($M$85="x",1)+IF($M$113="x",1)+IF($M$120="x",2)+IF($M$119="x",2)+IF($M$105="x",1)+IF($M$110="x",1)+IF($M$111="x",2)+IF($M$112="x",4)+IF($M$108="x",1)-IF($M$109="x",1)-IF($M$99="x",1)+IF($M$90="x",1)
&amp;"/"&amp;SUM($C$3,$I$3)+IF(H749="x",1)-18+$I$16-$B$10+$M$94+IF($C$77="x",2)-IF($C$78="x",4)-IF($I$78="x",1)-IF($I$77="x",2)-IF($I$90="x",2)+IF($I$83="x",2)-IF($C$76="x",4)-$C$112+IF(H706="x",1)+I706+$M$77+IF(H708="x",1)+IF(J708="x",1)+IF($M$76="x",2)+J706+IF($M$85="x",1)+IF($M$113="x",1)+IF($M$120="x",2)+IF($M$119="x",2)+IF($M$105="x",1)+IF($M$110="x",1)+IF($M$111="x",2)+IF($M$112="x",4)+IF($M$108="x",1)-IF($M$109="x",1)-IF($M$99="x",1)+IF($M$90="x",1)-5
&amp;"/"&amp;SUM($C$3,$I$3)+IF(H749="x",1)-18+$I$16-$B$10+$M$94+IF($C$77="x",2)-IF($C$78="x",4)-IF($I$78="x",1)-IF($I$77="x",2)-IF($I$90="x",2)+IF($I$83="x",2)-IF($C$76="x",4)-$C$112+IF(H706="x",1)+I706+$M$77+IF(H708="x",1)+IF(J708="x",1)+IF($M$76="x",2)+J706+IF($M$85="x",1)+IF($M$113="x",1)+IF($M$120="x",2)+IF($M$119="x",2)+IF($M$105="x",1)+IF($M$110="x",1)+IF($M$111="x",2)+IF($M$112="x",4)+IF($M$108="x",1)-IF($M$109="x",1)-IF($M$99="x",1)+IF($M$90="x",1)-10
&amp;"/"&amp;SUM($C$3,$I$3)+IF(H749="x",1)-18+$I$16-$B$10+$M$94+IF($C$77="x",2)-IF($C$78="x",4)-IF($I$78="x",1)-IF($I$77="x",2)-IF($I$90="x",2)+IF($I$83="x",2)-IF($C$76="x",4)-$C$112+IF(H706="x",1)+I706+$M$77+IF(H708="x",1)+IF(J708="x",1)+IF($M$76="x",2)+J706+IF($M$85="x",1)+IF($M$113="x",1)+IF($M$120="x",2)+IF($M$119="x",2)+IF($M$105="x",1)+IF($M$110="x",1)+IF($M$111="x",2)+IF($M$112="x",4)+IF($M$108="x",1)-IF($M$109="x",1)-IF($M$99="x",1)+IF($M$90="x",1)-15)</f>
        <v>-18</v>
      </c>
      <c r="C754" s="82"/>
      <c r="D754" s="121"/>
      <c r="E754" s="82"/>
      <c r="I754" s="155"/>
      <c r="J754" s="25"/>
      <c r="K754" s="25"/>
      <c r="AB754" s="62"/>
      <c r="AC754" s="53"/>
      <c r="AD754" s="49"/>
      <c r="AE754" s="51"/>
      <c r="AF754" s="49"/>
      <c r="AG754" s="49"/>
      <c r="AH754" s="49"/>
      <c r="AI754" s="49"/>
      <c r="AJ754" s="49"/>
      <c r="AK754" s="65"/>
      <c r="AL754" s="65"/>
    </row>
    <row r="755" spans="1:38" x14ac:dyDescent="0.2">
      <c r="A755" s="45"/>
      <c r="B755" s="45"/>
      <c r="C755" s="45"/>
      <c r="D755" s="45"/>
      <c r="E755" s="45"/>
      <c r="F755" s="45"/>
      <c r="G755" s="45"/>
      <c r="H755" s="45"/>
      <c r="I755" s="45"/>
      <c r="J755" s="45"/>
      <c r="K755" s="45"/>
      <c r="AB755" s="59"/>
      <c r="AC755" s="51"/>
      <c r="AD755" s="49"/>
      <c r="AE755" s="51"/>
      <c r="AF755" s="49"/>
      <c r="AG755" s="49"/>
      <c r="AH755" s="49"/>
      <c r="AI755" s="49"/>
      <c r="AJ755" s="67"/>
    </row>
    <row r="756" spans="1:38" x14ac:dyDescent="0.2">
      <c r="A756" s="46"/>
      <c r="B756" s="48"/>
      <c r="C756" s="48"/>
      <c r="D756" s="48"/>
      <c r="E756" s="48"/>
      <c r="F756" s="48"/>
      <c r="G756" s="48"/>
      <c r="H756" s="48"/>
      <c r="I756" s="48"/>
      <c r="J756" s="48"/>
      <c r="K756" s="48"/>
      <c r="AB756" s="62"/>
      <c r="AC756" s="53"/>
      <c r="AD756" s="49"/>
      <c r="AE756" s="51"/>
      <c r="AF756" s="49"/>
      <c r="AG756" s="40"/>
      <c r="AH756" s="40"/>
      <c r="AI756" s="40"/>
      <c r="AJ756" s="67"/>
      <c r="AK756" s="50"/>
      <c r="AL756" s="50"/>
    </row>
    <row r="757" spans="1:38" x14ac:dyDescent="0.2">
      <c r="A757" s="34" t="s">
        <v>275</v>
      </c>
      <c r="B757" s="11" t="s">
        <v>1</v>
      </c>
      <c r="C757" s="11" t="s">
        <v>2</v>
      </c>
      <c r="D757" s="11" t="s">
        <v>3</v>
      </c>
      <c r="E757" s="11" t="s">
        <v>229</v>
      </c>
      <c r="F757" s="11" t="s">
        <v>3</v>
      </c>
      <c r="G757" s="11" t="s">
        <v>45</v>
      </c>
      <c r="H757" s="14" t="s">
        <v>179</v>
      </c>
      <c r="I757" s="11" t="s">
        <v>242</v>
      </c>
      <c r="J757" s="11" t="s">
        <v>224</v>
      </c>
      <c r="K757" s="11" t="s">
        <v>225</v>
      </c>
    </row>
    <row r="758" spans="1:38" x14ac:dyDescent="0.2">
      <c r="A758" s="126">
        <f>IF($C$98="x",100*1.5,100)</f>
        <v>100</v>
      </c>
      <c r="B758" s="121">
        <f>_xlfn.IFS($I$85="x","PAINISSA",
$I$3&lt;6,SUM($C$3,$I$3)+IF(H762="x",1)+$I$16-$B$10+$M$94+IF($C$77="x",2)-IF($C$78="x",4)-IF($I$78="x",1)-IF($I$77="x",2)-IF($I$90="x",2)+IF($I$83="x",2)-IF($C$76="x",4)-$C$112+IF(H758="x",1)+I758+$M$77+IF(H760="x",1)+IF(J760="x",1)+IF($M$76="x",2)+J758+IF($M$85="x",1)+IF($M$113="x",1)+IF($M$120="x",2)+IF($M$119="x",2)+IF($M$105="x",1)+IF($M$110="x",1)+IF($M$111="x",2)+IF($M$112="x",4)+IF($M$108="x",1)-IF($M$109="x",1)-IF($M$99="x",1)+IF($M$90="x",1),
$I$3&lt;11,SUM($C$3,$I$3)+IF(H762="x",1)+$I$16-$B$10+$M$94+IF($C$77="x",2)-IF($C$78="x",4)-IF($I$78="x",1)-IF($I$77="x",2)-IF($I$90="x",2)+IF($I$83="x",2)-IF($C$76="x",4)-$C$112+IF(H758="x",1)+I758+$M$77+IF(H760="x",1)+IF(J760="x",1)+IF($M$76="x",2)+J758+IF($M$85="x",1)+IF($M$113="x",1)+IF($M$120="x",2)+IF($M$119="x",2)+IF($M$105="x",1)+IF($M$110="x",1)+IF($M$111="x",2)+IF($M$112="x",4)+IF($M$108="x",1)-IF($M$109="x",1)-IF($M$99="x",1)+IF($M$90="x",1)
&amp;"/"&amp;SUM($C$3,$I$3)+IF(H762="x",1)+$I$16-$B$10+$M$94+IF($C$77="x",2)-IF($C$78="x",4)-IF($I$78="x",1)-IF($I$77="x",2)-IF($I$90="x",2)+IF($I$83="x",2)-IF($C$76="x",4)-$C$112+IF(H758="x",1)+I758+$M$77+IF(H760="x",1)+IF(J760="x",1)+IF($M$76="x",2)+J758+IF($M$85="x",1)+IF($M$113="x",1)+IF($M$120="x",2)+IF($M$119="x",2)+IF($M$105="x",1)+IF($M$110="x",1)+IF($M$111="x",2)+IF($M$112="x",4)+IF($M$108="x",1)-IF($M$109="x",1)-IF($M$99="x",1)+IF($M$90="x",1)-5,
$I$3&lt;16,SUM($C$3,$I$3)+IF(H762="x",1)+$I$16-$B$10+$M$94+IF($C$77="x",2)-IF($C$78="x",4)-IF($I$78="x",1)-IF($I$77="x",2)-IF($I$90="x",2)+IF($I$83="x",2)-IF($C$76="x",4)-$C$112+IF(H758="x",1)+I758+$M$77+IF(H760="x",1)+IF(J760="x",1)+IF($M$76="x",2)+J758+IF($M$85="x",1)+IF($M$113="x",1)+IF($M$120="x",2)+IF($M$119="x",2)+IF($M$105="x",1)+IF($M$110="x",1)+IF($M$111="x",2)+IF($M$112="x",4)+IF($M$108="x",1)-IF($M$109="x",1)-IF($M$99="x",1)+IF($M$90="x",1)
&amp;"/"&amp;SUM($C$3,$I$3)+IF(H762="x",1)+$I$16-$B$10+$M$94+IF($C$77="x",2)-IF($C$78="x",4)-IF($I$78="x",1)-IF($I$77="x",2)-IF($I$90="x",2)+IF($I$83="x",2)-IF($C$76="x",4)-$C$112+IF(H758="x",1)+I758+$M$77+IF(H760="x",1)+IF(J760="x",1)+IF($M$76="x",2)+J758+IF($M$85="x",1)+IF($M$113="x",1)+IF($M$120="x",2)+IF($M$119="x",2)+IF($M$105="x",1)+IF($M$110="x",1)+IF($M$111="x",2)+IF($M$112="x",4)+IF($M$108="x",1)-IF($M$109="x",1)-IF($M$99="x",1)+IF($M$90="x",1)-5
&amp;"/"&amp;SUM($C$3,$I$3)+IF(H762="x",1)+$I$16-$B$10+$M$94+IF($C$77="x",2)-IF($C$78="x",4)-IF($I$78="x",1)-IF($I$77="x",2)-IF($I$90="x",2)+IF($I$83="x",2)-IF($C$76="x",4)-$C$112+IF(H758="x",1)+I758+$M$77+IF(H760="x",1)+IF(J760="x",1)+IF($M$76="x",2)+J758+IF($M$85="x",1)+IF($M$113="x",1)+IF($M$120="x",2)+IF($M$119="x",2)+IF($M$105="x",1)+IF($M$110="x",1)+IF($M$111="x",2)+IF($M$112="x",4)+IF($M$108="x",1)-IF($M$109="x",1)-IF($M$99="x",1)+IF($M$90="x",1)-10,
$I$3&gt;=16,SUM($C$3,$I$3)+IF(H762="x",1)+$I$16-$B$10+$M$94+IF($C$77="x",2)-IF($C$78="x",4)-IF($I$78="x",1)-IF($I$77="x",2)-IF($I$90="x",2)+IF($I$83="x",2)-IF($C$76="x",4)-$C$112+IF(H758="x",1)+I758+$M$77+IF(H760="x",1)+IF(J760="x",1)+IF($M$76="x",2)+J758+IF($M$85="x",1)+IF($M$113="x",1)+IF($M$120="x",2)+IF($M$119="x",2)+IF($M$105="x",1)+IF($M$110="x",1)+IF($M$111="x",2)+IF($M$112="x",4)+IF($M$108="x",1)-IF($M$109="x",1)-IF($M$99="x",1)+IF($M$90="x",1)
&amp;"/"&amp;SUM($C$3,$I$3)+IF(H762="x",1)+$I$16-$B$10+$M$94+IF($C$77="x",2)-IF($C$78="x",4)-IF($I$78="x",1)-IF($I$77="x",2)-IF($I$90="x",2)+IF($I$83="x",2)-IF($C$76="x",4)-$C$112+IF(H758="x",1)+I758+$M$77+IF(H760="x",1)+IF(J760="x",1)+IF($M$76="x",2)+J758+IF($M$85="x",1)+IF($M$113="x",1)+IF($M$120="x",2)+IF($M$119="x",2)+IF($M$105="x",1)+IF($M$110="x",1)+IF($M$111="x",2)+IF($M$112="x",4)+IF($M$108="x",1)-IF($M$109="x",1)-IF($M$99="x",1)+IF($M$90="x",1)-5
&amp;"/"&amp;SUM($C$3,$I$3)+IF(H762="x",1)+$I$16-$B$10+$M$94+IF($C$77="x",2)-IF($C$78="x",4)-IF($I$78="x",1)-IF($I$77="x",2)-IF($I$90="x",2)+IF($I$83="x",2)-IF($C$76="x",4)-$C$112+IF(H758="x",1)+I758+$M$77+IF(H760="x",1)+IF(J760="x",1)+IF($M$76="x",2)+J758+IF($M$85="x",1)+IF($M$113="x",1)+IF($M$120="x",2)+IF($M$119="x",2)+IF($M$105="x",1)+IF($M$110="x",1)+IF($M$111="x",2)+IF($M$112="x",4)+IF($M$108="x",1)-IF($M$109="x",1)-IF($M$99="x",1)+IF($M$90="x",1)-10
&amp;"/"&amp;SUM($C$3,$I$3)+IF(H762="x",1)+$I$16-$B$10+$M$94+IF($C$77="x",2)-IF($C$78="x",4)-IF($I$78="x",1)-IF($I$77="x",2)-IF($I$90="x",2)+IF($I$83="x",2)-IF($C$76="x",4)-$C$112+IF(H758="x",1)+I758+$M$77+IF(H760="x",1)+IF(J760="x",1)+IF($M$76="x",2)+J758+IF($M$85="x",1)+IF($M$113="x",1)+IF($M$120="x",2)+IF($M$119="x",2)+IF($M$105="x",1)+IF($M$110="x",1)+IF($M$111="x",2)+IF($M$112="x",4)+IF($M$108="x",1)-IF($M$109="x",1)-IF($M$99="x",1)+IF($M$90="x",1)-15)</f>
        <v>0</v>
      </c>
      <c r="C758" s="49" t="str">
        <f>_xlfn.IFS($C$7="Minimaalinen","1n2",$C$7="Taskukokoinen","1n3",$C$7="Hyvin pieni","1n4",$C$7="Pieni","1n6",$C$7="Keskikokoinen","1n8",$C$7="Iso","2n6",$C$7="Valtava","3n6",$C$7="Suunnaton","4n6",$C$7="Giganttinen","6n6")</f>
        <v>1n8</v>
      </c>
      <c r="D758" s="51">
        <f>IF(H762="x",1)+IF(I760="x",2)+I758+K758+IF(K760="x",2)+IF($I$2&lt;0,$I$2)</f>
        <v>0</v>
      </c>
      <c r="E758" s="49" t="str">
        <f>_xlfn.IFS($C$7="Minimaalinen","3n2",$C$7="Taskukokoinen","3n3",$C$7="Hyvin pieni","3n4",$C$7="Pieni","3n6",$C$7="Keskikokoinen","3n8",$C$7="Iso","6n6",$C$7="Valtava","9n6",$C$7="Suunnaton","12n6",$C$7="Giganttinen","18n6")</f>
        <v>3n8</v>
      </c>
      <c r="F758" s="82">
        <f>SUM(D758*3)</f>
        <v>0</v>
      </c>
      <c r="G758" s="82" t="str">
        <f>(IF($I$89="x","50 %","")&amp;(IF($C$81="x","20 %",""))&amp;(IF($C$82="x","50 %","")))</f>
        <v/>
      </c>
      <c r="H758" s="28"/>
      <c r="I758" s="17">
        <v>0</v>
      </c>
      <c r="J758" s="17">
        <v>0</v>
      </c>
      <c r="K758" s="17">
        <v>0</v>
      </c>
    </row>
    <row r="759" spans="1:38" x14ac:dyDescent="0.2">
      <c r="A759" s="127">
        <f>A758*2</f>
        <v>200</v>
      </c>
      <c r="B759" s="123">
        <f>_xlfn.IFS($I$85="x","PAINISSA",
$I$3&lt;6,SUM($C$3,$I$3)-2+IF(H762="x",1)+$I$16-$B$10+$M$94+IF($C$77="x",2)-IF($C$78="x",4)-IF($I$78="x",1)-IF($I$77="x",2)-IF($I$90="x",2)+IF($I$83="x",2)-IF($C$76="x",4)-$C$112+IF(H758="x",1)+I758+$M$77+IF(H760="x",1)+IF(J760="x",1)+IF($M$76="x",2)+J758+IF($M$85="x",1)+IF($M$113="x",1)+IF($M$120="x",2)+IF($M$119="x",2)+IF($M$105="x",1)+IF($M$110="x",1)+IF($M$111="x",2)+IF($M$112="x",4)+IF($M$108="x",1)-IF($M$109="x",1)-IF($M$99="x",1)+IF($M$90="x",1),
$I$3&lt;11,SUM($C$3,$I$3)-2+IF(H762="x",1)+$I$16-$B$10+$M$94+IF($C$77="x",2)-IF($C$78="x",4)-IF($I$78="x",1)-IF($I$77="x",2)-IF($I$90="x",2)+IF($I$83="x",2)-IF($C$76="x",4)-$C$112+IF(H758="x",1)+I758+$M$77+IF(H760="x",1)+IF(J760="x",1)+IF($M$76="x",2)+J758+IF($M$85="x",1)+IF($M$113="x",1)+IF($M$120="x",2)+IF($M$119="x",2)+IF($M$105="x",1)+IF($M$110="x",1)+IF($M$111="x",2)+IF($M$112="x",4)+IF($M$108="x",1)-IF($M$109="x",1)-IF($M$99="x",1)+IF($M$90="x",1)
&amp;"/"&amp;SUM($C$3,$I$3)-2+IF(H762="x",1)+$I$16-$B$10+$M$94+IF($C$77="x",2)-IF($C$78="x",4)-IF($I$78="x",1)-IF($I$77="x",2)-IF($I$90="x",2)+IF($I$83="x",2)-IF($C$76="x",4)-$C$112+IF(H758="x",1)+I758+$M$77+IF(H760="x",1)+IF(J760="x",1)+IF($M$76="x",2)+J758+IF($M$85="x",1)+IF($M$113="x",1)+IF($M$120="x",2)+IF($M$119="x",2)+IF($M$105="x",1)+IF($M$110="x",1)+IF($M$111="x",2)+IF($M$112="x",4)+IF($M$108="x",1)-IF($M$109="x",1)-IF($M$99="x",1)+IF($M$90="x",1)-5,
$I$3&lt;16,SUM($C$3,$I$3)-2+IF(H762="x",1)+$I$16-$B$10+$M$94+IF($C$77="x",2)-IF($C$78="x",4)-IF($I$78="x",1)-IF($I$77="x",2)-IF($I$90="x",2)+IF($I$83="x",2)-IF($C$76="x",4)-$C$112+IF(H758="x",1)+I758+$M$77+IF(H760="x",1)+IF(J760="x",1)+IF($M$76="x",2)+J758+IF($M$85="x",1)+IF($M$113="x",1)+IF($M$120="x",2)+IF($M$119="x",2)+IF($M$105="x",1)+IF($M$110="x",1)+IF($M$111="x",2)+IF($M$112="x",4)+IF($M$108="x",1)-IF($M$109="x",1)-IF($M$99="x",1)+IF($M$90="x",1)
&amp;"/"&amp;SUM($C$3,$I$3)-2+IF(H762="x",1)+$I$16-$B$10+$M$94+IF($C$77="x",2)-IF($C$78="x",4)-IF($I$78="x",1)-IF($I$77="x",2)-IF($I$90="x",2)+IF($I$83="x",2)-IF($C$76="x",4)-$C$112+IF(H758="x",1)+I758+$M$77+IF(H760="x",1)+IF(J760="x",1)+IF($M$76="x",2)+J758+IF($M$85="x",1)+IF($M$113="x",1)+IF($M$120="x",2)+IF($M$119="x",2)+IF($M$105="x",1)+IF($M$110="x",1)+IF($M$111="x",2)+IF($M$112="x",4)+IF($M$108="x",1)-IF($M$109="x",1)-IF($M$99="x",1)+IF($M$90="x",1)-5
&amp;"/"&amp;SUM($C$3,$I$3)-2+IF(H762="x",1)+$I$16-$B$10+$M$94+IF($C$77="x",2)-IF($C$78="x",4)-IF($I$78="x",1)-IF($I$77="x",2)-IF($I$90="x",2)+IF($I$83="x",2)-IF($C$76="x",4)-$C$112+IF(H758="x",1)+I758+$M$77+IF(H760="x",1)+IF(J760="x",1)+IF($M$76="x",2)+J758+IF($M$85="x",1)+IF($M$113="x",1)+IF($M$120="x",2)+IF($M$119="x",2)+IF($M$105="x",1)+IF($M$110="x",1)+IF($M$111="x",2)+IF($M$112="x",4)+IF($M$108="x",1)-IF($M$109="x",1)-IF($M$99="x",1)+IF($M$90="x",1)-10,
$I$3&gt;=16,SUM($C$3,$I$3)-2+IF(H762="x",1)+$I$16-$B$10+$M$94+IF($C$77="x",2)-IF($C$78="x",4)-IF($I$78="x",1)-IF($I$77="x",2)-IF($I$90="x",2)+IF($I$83="x",2)-IF($C$76="x",4)-$C$112+IF(H758="x",1)+I758+$M$77+IF(H760="x",1)+IF(J760="x",1)+IF($M$76="x",2)+J758+IF($M$85="x",1)+IF($M$113="x",1)+IF($M$120="x",2)+IF($M$119="x",2)+IF($M$105="x",1)+IF($M$110="x",1)+IF($M$111="x",2)+IF($M$112="x",4)+IF($M$108="x",1)-IF($M$109="x",1)-IF($M$99="x",1)+IF($M$90="x",1)
&amp;"/"&amp;SUM($C$3,$I$3)-2+IF(H762="x",1)+$I$16-$B$10+$M$94+IF($C$77="x",2)-IF($C$78="x",4)-IF($I$78="x",1)-IF($I$77="x",2)-IF($I$90="x",2)+IF($I$83="x",2)-IF($C$76="x",4)-$C$112+IF(H758="x",1)+I758+$M$77+IF(H760="x",1)+IF(J760="x",1)+IF($M$76="x",2)+J758+IF($M$85="x",1)+IF($M$113="x",1)+IF($M$120="x",2)+IF($M$119="x",2)+IF($M$105="x",1)+IF($M$110="x",1)+IF($M$111="x",2)+IF($M$112="x",4)+IF($M$108="x",1)-IF($M$109="x",1)-IF($M$99="x",1)+IF($M$90="x",1)-5
&amp;"/"&amp;SUM($C$3,$I$3)-2+IF(H762="x",1)+$I$16-$B$10+$M$94+IF($C$77="x",2)-IF($C$78="x",4)-IF($I$78="x",1)-IF($I$77="x",2)-IF($I$90="x",2)+IF($I$83="x",2)-IF($C$76="x",4)-$C$112+IF(H758="x",1)+I758+$M$77+IF(H760="x",1)+IF(J760="x",1)+IF($M$76="x",2)+J758+IF($M$85="x",1)+IF($M$113="x",1)+IF($M$120="x",2)+IF($M$119="x",2)+IF($M$105="x",1)+IF($M$110="x",1)+IF($M$111="x",2)+IF($M$112="x",4)+IF($M$108="x",1)-IF($M$109="x",1)-IF($M$99="x",1)+IF($M$90="x",1)-10
&amp;"/"&amp;SUM($C$3,$I$3)-2+IF(H762="x",1)+$I$16-$B$10+$M$94+IF($C$77="x",2)-IF($C$78="x",4)-IF($I$78="x",1)-IF($I$77="x",2)-IF($I$90="x",2)+IF($I$83="x",2)-IF($C$76="x",4)-$C$112+IF(H758="x",1)+I758+$M$77+IF(H760="x",1)+IF(J760="x",1)+IF($M$76="x",2)+J758+IF($M$85="x",1)+IF($M$113="x",1)+IF($M$120="x",2)+IF($M$119="x",2)+IF($M$105="x",1)+IF($M$110="x",1)+IF($M$111="x",2)+IF($M$112="x",4)+IF($M$108="x",1)-IF($M$109="x",1)-IF($M$99="x",1)+IF($M$90="x",1)-15)</f>
        <v>-2</v>
      </c>
      <c r="C759" s="82"/>
      <c r="D759" s="121"/>
      <c r="E759" s="82"/>
      <c r="F759" s="82"/>
      <c r="G759" s="82"/>
      <c r="H759" s="14" t="s">
        <v>220</v>
      </c>
      <c r="I759" s="14" t="s">
        <v>221</v>
      </c>
      <c r="J759" s="14" t="s">
        <v>222</v>
      </c>
      <c r="K759" s="14" t="s">
        <v>223</v>
      </c>
      <c r="AB759" s="46"/>
      <c r="AC759" s="48"/>
      <c r="AD759" s="48"/>
      <c r="AE759" s="48"/>
      <c r="AF759" s="48"/>
      <c r="AG759" s="48"/>
      <c r="AH759" s="48"/>
      <c r="AI759" s="48"/>
      <c r="AJ759" s="48"/>
      <c r="AK759" s="48"/>
    </row>
    <row r="760" spans="1:38" x14ac:dyDescent="0.2">
      <c r="A760" s="126">
        <f>A758*3</f>
        <v>300</v>
      </c>
      <c r="B760" s="121">
        <f>_xlfn.IFS($I$85="x","PAINISSA",
$I$3&lt;6,SUM($C$3,$I$3)-4+IF(H762="x",1)+$I$16-$B$10+$M$94+IF($C$77="x",2)-IF($C$78="x",4)-IF($I$78="x",1)-IF($I$77="x",2)-IF($I$90="x",2)+IF($I$83="x",2)-IF($C$76="x",4)-$C$112+IF(H758="x",1)+I758+$M$77+IF(H760="x",1)+IF(J760="x",1)+IF($M$76="x",2)+J758+IF($M$85="x",1)+IF($M$113="x",1)+IF($M$120="x",2)+IF($M$119="x",2)+IF($M$105="x",1)+IF($M$110="x",1)+IF($M$111="x",2)+IF($M$112="x",4)+IF($M$108="x",1)-IF($M$109="x",1)-IF($M$99="x",1)+IF($M$90="x",1),
$I$3&lt;11,SUM($C$3,$I$3)-4+IF(H762="x",1)+$I$16-$B$10+$M$94+IF($C$77="x",2)-IF($C$78="x",4)-IF($I$78="x",1)-IF($I$77="x",2)-IF($I$90="x",2)+IF($I$83="x",2)-IF($C$76="x",4)-$C$112+IF(H758="x",1)+I758+$M$77+IF(H760="x",1)+IF(J760="x",1)+IF($M$76="x",2)+J758+IF($M$85="x",1)+IF($M$113="x",1)+IF($M$120="x",2)+IF($M$119="x",2)+IF($M$105="x",1)+IF($M$110="x",1)+IF($M$111="x",2)+IF($M$112="x",4)+IF($M$108="x",1)-IF($M$109="x",1)-IF($M$99="x",1)+IF($M$90="x",1)
&amp;"/"&amp;SUM($C$3,$I$3)-4+IF(H762="x",1)+$I$16-$B$10+$M$94+IF($C$77="x",2)-IF($C$78="x",4)-IF($I$78="x",1)-IF($I$77="x",2)-IF($I$90="x",2)+IF($I$83="x",2)-IF($C$76="x",4)-$C$112+IF(H758="x",1)+I758+$M$77+IF(H760="x",1)+IF(J760="x",1)+IF($M$76="x",2)+J758+IF($M$85="x",1)+IF($M$113="x",1)+IF($M$120="x",2)+IF($M$119="x",2)+IF($M$105="x",1)+IF($M$110="x",1)+IF($M$111="x",2)+IF($M$112="x",4)+IF($M$108="x",1)-IF($M$109="x",1)-IF($M$99="x",1)+IF($M$90="x",1)-5,
$I$3&lt;16,SUM($C$3,$I$3)-4+IF(H762="x",1)+$I$16-$B$10+$M$94+IF($C$77="x",2)-IF($C$78="x",4)-IF($I$78="x",1)-IF($I$77="x",2)-IF($I$90="x",2)+IF($I$83="x",2)-IF($C$76="x",4)-$C$112+IF(H758="x",1)+I758+$M$77+IF(H760="x",1)+IF(J760="x",1)+IF($M$76="x",2)+J758+IF($M$85="x",1)+IF($M$113="x",1)+IF($M$120="x",2)+IF($M$119="x",2)+IF($M$105="x",1)+IF($M$110="x",1)+IF($M$111="x",2)+IF($M$112="x",4)+IF($M$108="x",1)-IF($M$109="x",1)-IF($M$99="x",1)+IF($M$90="x",1)
&amp;"/"&amp;SUM($C$3,$I$3)-4+IF(H762="x",1)+$I$16-$B$10+$M$94+IF($C$77="x",2)-IF($C$78="x",4)-IF($I$78="x",1)-IF($I$77="x",2)-IF($I$90="x",2)+IF($I$83="x",2)-IF($C$76="x",4)-$C$112+IF(H758="x",1)+I758+$M$77+IF(H760="x",1)+IF(J760="x",1)+IF($M$76="x",2)+J758+IF($M$85="x",1)+IF($M$113="x",1)+IF($M$120="x",2)+IF($M$119="x",2)+IF($M$105="x",1)+IF($M$110="x",1)+IF($M$111="x",2)+IF($M$112="x",4)+IF($M$108="x",1)-IF($M$109="x",1)-IF($M$99="x",1)+IF($M$90="x",1)-5
&amp;"/"&amp;SUM($C$3,$I$3)-4+IF(H762="x",1)+$I$16-$B$10+$M$94+IF($C$77="x",2)-IF($C$78="x",4)-IF($I$78="x",1)-IF($I$77="x",2)-IF($I$90="x",2)+IF($I$83="x",2)-IF($C$76="x",4)-$C$112+IF(H758="x",1)+I758+$M$77+IF(H760="x",1)+IF(J760="x",1)+IF($M$76="x",2)+J758+IF($M$85="x",1)+IF($M$113="x",1)+IF($M$120="x",2)+IF($M$119="x",2)+IF($M$105="x",1)+IF($M$110="x",1)+IF($M$111="x",2)+IF($M$112="x",4)+IF($M$108="x",1)-IF($M$109="x",1)-IF($M$99="x",1)+IF($M$90="x",1)-10,
$I$3&gt;=16,SUM($C$3,$I$3)-4+IF(H762="x",1)+$I$16-$B$10+$M$94+IF($C$77="x",2)-IF($C$78="x",4)-IF($I$78="x",1)-IF($I$77="x",2)-IF($I$90="x",2)+IF($I$83="x",2)-IF($C$76="x",4)-$C$112+IF(H758="x",1)+I758+$M$77+IF(H760="x",1)+IF(J760="x",1)+IF($M$76="x",2)+J758+IF($M$85="x",1)+IF($M$113="x",1)+IF($M$120="x",2)+IF($M$119="x",2)+IF($M$105="x",1)+IF($M$110="x",1)+IF($M$111="x",2)+IF($M$112="x",4)+IF($M$108="x",1)-IF($M$109="x",1)-IF($M$99="x",1)+IF($M$90="x",1)
&amp;"/"&amp;SUM($C$3,$I$3)-4+IF(H762="x",1)+$I$16-$B$10+$M$94+IF($C$77="x",2)-IF($C$78="x",4)-IF($I$78="x",1)-IF($I$77="x",2)-IF($I$90="x",2)+IF($I$83="x",2)-IF($C$76="x",4)-$C$112+IF(H758="x",1)+I758+$M$77+IF(H760="x",1)+IF(J760="x",1)+IF($M$76="x",2)+J758+IF($M$85="x",1)+IF($M$113="x",1)+IF($M$120="x",2)+IF($M$119="x",2)+IF($M$105="x",1)+IF($M$110="x",1)+IF($M$111="x",2)+IF($M$112="x",4)+IF($M$108="x",1)-IF($M$109="x",1)-IF($M$99="x",1)+IF($M$90="x",1)-5
&amp;"/"&amp;SUM($C$3,$I$3)-4+IF(H762="x",1)+$I$16-$B$10+$M$94+IF($C$77="x",2)-IF($C$78="x",4)-IF($I$78="x",1)-IF($I$77="x",2)-IF($I$90="x",2)+IF($I$83="x",2)-IF($C$76="x",4)-$C$112+IF(H758="x",1)+I758+$M$77+IF(H760="x",1)+IF(J760="x",1)+IF($M$76="x",2)+J758+IF($M$85="x",1)+IF($M$113="x",1)+IF($M$120="x",2)+IF($M$119="x",2)+IF($M$105="x",1)+IF($M$110="x",1)+IF($M$111="x",2)+IF($M$112="x",4)+IF($M$108="x",1)-IF($M$109="x",1)-IF($M$99="x",1)+IF($M$90="x",1)-10
&amp;"/"&amp;SUM($C$3,$I$3)-4+IF(H762="x",1)+$I$16-$B$10+$M$94+IF($C$77="x",2)-IF($C$78="x",4)-IF($I$78="x",1)-IF($I$77="x",2)-IF($I$90="x",2)+IF($I$83="x",2)-IF($C$76="x",4)-$C$112+IF(H758="x",1)+I758+$M$77+IF(H760="x",1)+IF(J760="x",1)+IF($M$76="x",2)+J758+IF($M$85="x",1)+IF($M$113="x",1)+IF($M$120="x",2)+IF($M$119="x",2)+IF($M$105="x",1)+IF($M$110="x",1)+IF($M$111="x",2)+IF($M$112="x",4)+IF($M$108="x",1)-IF($M$109="x",1)-IF($M$99="x",1)+IF($M$90="x",1)-15)</f>
        <v>-4</v>
      </c>
      <c r="C760" s="82"/>
      <c r="D760" s="121"/>
      <c r="E760" s="82"/>
      <c r="F760" s="82"/>
      <c r="G760" s="82"/>
      <c r="H760" s="28"/>
      <c r="I760" s="28"/>
      <c r="J760" s="28"/>
      <c r="K760" s="28"/>
      <c r="AB760" s="68"/>
      <c r="AC760" s="129"/>
      <c r="AD760" s="66"/>
      <c r="AE760" s="129"/>
      <c r="AF760" s="66"/>
      <c r="AG760" s="66"/>
      <c r="AH760" s="49"/>
      <c r="AI760" s="40"/>
      <c r="AJ760" s="40"/>
      <c r="AK760" s="40"/>
    </row>
    <row r="761" spans="1:38" x14ac:dyDescent="0.2">
      <c r="A761" s="127">
        <f>A758*4</f>
        <v>400</v>
      </c>
      <c r="B761" s="123">
        <f>_xlfn.IFS($I$85="x","PAINISSA",
$I$3&lt;6,SUM($C$3,$I$3)-6+IF(H762="x",1)+$I$16-$B$10+$M$94+IF($C$77="x",2)-IF($C$78="x",4)-IF($I$78="x",1)-IF($I$77="x",2)-IF($I$90="x",2)+IF($I$83="x",2)-IF($C$76="x",4)-$C$112+IF(H758="x",1)+I758+$M$77+IF(H760="x",1)+IF(J760="x",1)+IF($M$76="x",2)+J758+IF($M$85="x",1)+IF($M$113="x",1)+IF($M$120="x",2)+IF($M$119="x",2)+IF($M$105="x",1)+IF($M$110="x",1)+IF($M$111="x",2)+IF($M$112="x",4)+IF($M$108="x",1)-IF($M$109="x",1)-IF($M$99="x",1)+IF($M$90="x",1),
$I$3&lt;11,SUM($C$3,$I$3)-6+IF(H762="x",1)+$I$16-$B$10+$M$94+IF($C$77="x",2)-IF($C$78="x",4)-IF($I$78="x",1)-IF($I$77="x",2)-IF($I$90="x",2)+IF($I$83="x",2)-IF($C$76="x",4)-$C$112+IF(H758="x",1)+I758+$M$77+IF(H760="x",1)+IF(J760="x",1)+IF($M$76="x",2)+J758+IF($M$85="x",1)+IF($M$113="x",1)+IF($M$120="x",2)+IF($M$119="x",2)+IF($M$105="x",1)+IF($M$110="x",1)+IF($M$111="x",2)+IF($M$112="x",4)+IF($M$108="x",1)-IF($M$109="x",1)-IF($M$99="x",1)+IF($M$90="x",1)
&amp;"/"&amp;SUM($C$3,$I$3)-6+IF(H762="x",1)+$I$16-$B$10+$M$94+IF($C$77="x",2)-IF($C$78="x",4)-IF($I$78="x",1)-IF($I$77="x",2)-IF($I$90="x",2)+IF($I$83="x",2)-IF($C$76="x",4)-$C$112+IF(H758="x",1)+I758+$M$77+IF(H760="x",1)+IF(J760="x",1)+IF($M$76="x",2)+J758+IF($M$85="x",1)+IF($M$113="x",1)+IF($M$120="x",2)+IF($M$119="x",2)+IF($M$105="x",1)+IF($M$110="x",1)+IF($M$111="x",2)+IF($M$112="x",4)+IF($M$108="x",1)-IF($M$109="x",1)-IF($M$99="x",1)+IF($M$90="x",1)-5,
$I$3&lt;16,SUM($C$3,$I$3)-6+IF(H762="x",1)+$I$16-$B$10+$M$94+IF($C$77="x",2)-IF($C$78="x",4)-IF($I$78="x",1)-IF($I$77="x",2)-IF($I$90="x",2)+IF($I$83="x",2)-IF($C$76="x",4)-$C$112+IF(H758="x",1)+I758+$M$77+IF(H760="x",1)+IF(J760="x",1)+IF($M$76="x",2)+J758+IF($M$85="x",1)+IF($M$113="x",1)+IF($M$120="x",2)+IF($M$119="x",2)+IF($M$105="x",1)+IF($M$110="x",1)+IF($M$111="x",2)+IF($M$112="x",4)+IF($M$108="x",1)-IF($M$109="x",1)-IF($M$99="x",1)+IF($M$90="x",1)
&amp;"/"&amp;SUM($C$3,$I$3)-6+IF(H762="x",1)+$I$16-$B$10+$M$94+IF($C$77="x",2)-IF($C$78="x",4)-IF($I$78="x",1)-IF($I$77="x",2)-IF($I$90="x",2)+IF($I$83="x",2)-IF($C$76="x",4)-$C$112+IF(H758="x",1)+I758+$M$77+IF(H760="x",1)+IF(J760="x",1)+IF($M$76="x",2)+J758+IF($M$85="x",1)+IF($M$113="x",1)+IF($M$120="x",2)+IF($M$119="x",2)+IF($M$105="x",1)+IF($M$110="x",1)+IF($M$111="x",2)+IF($M$112="x",4)+IF($M$108="x",1)-IF($M$109="x",1)-IF($M$99="x",1)+IF($M$90="x",1)-5
&amp;"/"&amp;SUM($C$3,$I$3)-6+IF(H762="x",1)+$I$16-$B$10+$M$94+IF($C$77="x",2)-IF($C$78="x",4)-IF($I$78="x",1)-IF($I$77="x",2)-IF($I$90="x",2)+IF($I$83="x",2)-IF($C$76="x",4)-$C$112+IF(H758="x",1)+I758+$M$77+IF(H760="x",1)+IF(J760="x",1)+IF($M$76="x",2)+J758+IF($M$85="x",1)+IF($M$113="x",1)+IF($M$120="x",2)+IF($M$119="x",2)+IF($M$105="x",1)+IF($M$110="x",1)+IF($M$111="x",2)+IF($M$112="x",4)+IF($M$108="x",1)-IF($M$109="x",1)-IF($M$99="x",1)+IF($M$90="x",1)-10,
$I$3&gt;=16,SUM($C$3,$I$3)-6+IF(H762="x",1)+$I$16-$B$10+$M$94+IF($C$77="x",2)-IF($C$78="x",4)-IF($I$78="x",1)-IF($I$77="x",2)-IF($I$90="x",2)+IF($I$83="x",2)-IF($C$76="x",4)-$C$112+IF(H758="x",1)+I758+$M$77+IF(H760="x",1)+IF(J760="x",1)+IF($M$76="x",2)+J758+IF($M$85="x",1)+IF($M$113="x",1)+IF($M$120="x",2)+IF($M$119="x",2)+IF($M$105="x",1)+IF($M$110="x",1)+IF($M$111="x",2)+IF($M$112="x",4)+IF($M$108="x",1)-IF($M$109="x",1)-IF($M$99="x",1)+IF($M$90="x",1)
&amp;"/"&amp;SUM($C$3,$I$3)-6+IF(H762="x",1)+$I$16-$B$10+$M$94+IF($C$77="x",2)-IF($C$78="x",4)-IF($I$78="x",1)-IF($I$77="x",2)-IF($I$90="x",2)+IF($I$83="x",2)-IF($C$76="x",4)-$C$112+IF(H758="x",1)+I758+$M$77+IF(H760="x",1)+IF(J760="x",1)+IF($M$76="x",2)+J758+IF($M$85="x",1)+IF($M$113="x",1)+IF($M$120="x",2)+IF($M$119="x",2)+IF($M$105="x",1)+IF($M$110="x",1)+IF($M$111="x",2)+IF($M$112="x",4)+IF($M$108="x",1)-IF($M$109="x",1)-IF($M$99="x",1)+IF($M$90="x",1)-5
&amp;"/"&amp;SUM($C$3,$I$3)-6+IF(H762="x",1)+$I$16-$B$10+$M$94+IF($C$77="x",2)-IF($C$78="x",4)-IF($I$78="x",1)-IF($I$77="x",2)-IF($I$90="x",2)+IF($I$83="x",2)-IF($C$76="x",4)-$C$112+IF(H758="x",1)+I758+$M$77+IF(H760="x",1)+IF(J760="x",1)+IF($M$76="x",2)+J758+IF($M$85="x",1)+IF($M$113="x",1)+IF($M$120="x",2)+IF($M$119="x",2)+IF($M$105="x",1)+IF($M$110="x",1)+IF($M$111="x",2)+IF($M$112="x",4)+IF($M$108="x",1)-IF($M$109="x",1)-IF($M$99="x",1)+IF($M$90="x",1)-10
&amp;"/"&amp;SUM($C$3,$I$3)-6+IF(H762="x",1)+$I$16-$B$10+$M$94+IF($C$77="x",2)-IF($C$78="x",4)-IF($I$78="x",1)-IF($I$77="x",2)-IF($I$90="x",2)+IF($I$83="x",2)-IF($C$76="x",4)-$C$112+IF(H758="x",1)+I758+$M$77+IF(H760="x",1)+IF(J760="x",1)+IF($M$76="x",2)+J758+IF($M$85="x",1)+IF($M$113="x",1)+IF($M$120="x",2)+IF($M$119="x",2)+IF($M$105="x",1)+IF($M$110="x",1)+IF($M$111="x",2)+IF($M$112="x",4)+IF($M$108="x",1)-IF($M$109="x",1)-IF($M$99="x",1)+IF($M$90="x",1)-15)</f>
        <v>-6</v>
      </c>
      <c r="C761" s="82"/>
      <c r="D761" s="121"/>
      <c r="E761" s="82"/>
      <c r="F761" s="82"/>
      <c r="G761" s="82"/>
      <c r="H761" s="14" t="s">
        <v>182</v>
      </c>
      <c r="I761" s="15"/>
      <c r="AB761" s="68"/>
      <c r="AC761" s="129"/>
      <c r="AD761" s="66"/>
      <c r="AE761" s="129"/>
      <c r="AF761" s="66"/>
      <c r="AG761" s="66"/>
      <c r="AH761" s="49"/>
      <c r="AI761" s="48"/>
      <c r="AJ761" s="48"/>
      <c r="AK761" s="48"/>
      <c r="AL761" s="48"/>
    </row>
    <row r="762" spans="1:38" x14ac:dyDescent="0.2">
      <c r="A762" s="126">
        <f>A758*5</f>
        <v>500</v>
      </c>
      <c r="B762" s="121">
        <f>_xlfn.IFS($I$85="x","PAINISSA",
$I$3&lt;6,SUM($C$3,$I$3)-8+IF(H762="x",1)+$I$16-$B$10+$M$94+IF($C$77="x",2)-IF($C$78="x",4)-IF($I$78="x",1)-IF($I$77="x",2)-IF($I$90="x",2)+IF($I$83="x",2)-IF($C$76="x",4)-$C$112+IF(H758="x",1)+I758+$M$77+IF(H760="x",1)+IF(J760="x",1)+IF($M$76="x",2)+J758+IF($M$85="x",1)+IF($M$113="x",1)+IF($M$120="x",2)+IF($M$119="x",2)+IF($M$105="x",1)+IF($M$110="x",1)+IF($M$111="x",2)+IF($M$112="x",4)+IF($M$108="x",1)-IF($M$109="x",1)-IF($M$99="x",1)+IF($M$90="x",1),
$I$3&lt;11,SUM($C$3,$I$3)-8+IF(H762="x",1)+$I$16-$B$10+$M$94+IF($C$77="x",2)-IF($C$78="x",4)-IF($I$78="x",1)-IF($I$77="x",2)-IF($I$90="x",2)+IF($I$83="x",2)-IF($C$76="x",4)-$C$112+IF(H758="x",1)+I758+$M$77+IF(H760="x",1)+IF(J760="x",1)+IF($M$76="x",2)+J758+IF($M$85="x",1)+IF($M$113="x",1)+IF($M$120="x",2)+IF($M$119="x",2)+IF($M$105="x",1)+IF($M$110="x",1)+IF($M$111="x",2)+IF($M$112="x",4)+IF($M$108="x",1)-IF($M$109="x",1)-IF($M$99="x",1)+IF($M$90="x",1)
&amp;"/"&amp;SUM($C$3,$I$3)-8+IF(H762="x",1)+$I$16-$B$10+$M$94+IF($C$77="x",2)-IF($C$78="x",4)-IF($I$78="x",1)-IF($I$77="x",2)-IF($I$90="x",2)+IF($I$83="x",2)-IF($C$76="x",4)-$C$112+IF(H758="x",1)+I758+$M$77+IF(H760="x",1)+IF(J760="x",1)+IF($M$76="x",2)+J758+IF($M$85="x",1)+IF($M$113="x",1)+IF($M$120="x",2)+IF($M$119="x",2)+IF($M$105="x",1)+IF($M$110="x",1)+IF($M$111="x",2)+IF($M$112="x",4)+IF($M$108="x",1)-IF($M$109="x",1)-IF($M$99="x",1)+IF($M$90="x",1)-5,
$I$3&lt;16,SUM($C$3,$I$3)-8+IF(H762="x",1)+$I$16-$B$10+$M$94+IF($C$77="x",2)-IF($C$78="x",4)-IF($I$78="x",1)-IF($I$77="x",2)-IF($I$90="x",2)+IF($I$83="x",2)-IF($C$76="x",4)-$C$112+IF(H758="x",1)+I758+$M$77+IF(H760="x",1)+IF(J760="x",1)+IF($M$76="x",2)+J758+IF($M$85="x",1)+IF($M$113="x",1)+IF($M$120="x",2)+IF($M$119="x",2)+IF($M$105="x",1)+IF($M$110="x",1)+IF($M$111="x",2)+IF($M$112="x",4)+IF($M$108="x",1)-IF($M$109="x",1)-IF($M$99="x",1)+IF($M$90="x",1)
&amp;"/"&amp;SUM($C$3,$I$3)-8+IF(H762="x",1)+$I$16-$B$10+$M$94+IF($C$77="x",2)-IF($C$78="x",4)-IF($I$78="x",1)-IF($I$77="x",2)-IF($I$90="x",2)+IF($I$83="x",2)-IF($C$76="x",4)-$C$112+IF(H758="x",1)+I758+$M$77+IF(H760="x",1)+IF(J760="x",1)+IF($M$76="x",2)+J758+IF($M$85="x",1)+IF($M$113="x",1)+IF($M$120="x",2)+IF($M$119="x",2)+IF($M$105="x",1)+IF($M$110="x",1)+IF($M$111="x",2)+IF($M$112="x",4)+IF($M$108="x",1)-IF($M$109="x",1)-IF($M$99="x",1)+IF($M$90="x",1)-5
&amp;"/"&amp;SUM($C$3,$I$3)-8+IF(H762="x",1)+$I$16-$B$10+$M$94+IF($C$77="x",2)-IF($C$78="x",4)-IF($I$78="x",1)-IF($I$77="x",2)-IF($I$90="x",2)+IF($I$83="x",2)-IF($C$76="x",4)-$C$112+IF(H758="x",1)+I758+$M$77+IF(H760="x",1)+IF(J760="x",1)+IF($M$76="x",2)+J758+IF($M$85="x",1)+IF($M$113="x",1)+IF($M$120="x",2)+IF($M$119="x",2)+IF($M$105="x",1)+IF($M$110="x",1)+IF($M$111="x",2)+IF($M$112="x",4)+IF($M$108="x",1)-IF($M$109="x",1)-IF($M$99="x",1)+IF($M$90="x",1)-10,
$I$3&gt;=16,SUM($C$3,$I$3)-8+IF(H762="x",1)+$I$16-$B$10+$M$94+IF($C$77="x",2)-IF($C$78="x",4)-IF($I$78="x",1)-IF($I$77="x",2)-IF($I$90="x",2)+IF($I$83="x",2)-IF($C$76="x",4)-$C$112+IF(H758="x",1)+I758+$M$77+IF(H760="x",1)+IF(J760="x",1)+IF($M$76="x",2)+J758+IF($M$85="x",1)+IF($M$113="x",1)+IF($M$120="x",2)+IF($M$119="x",2)+IF($M$105="x",1)+IF($M$110="x",1)+IF($M$111="x",2)+IF($M$112="x",4)+IF($M$108="x",1)-IF($M$109="x",1)-IF($M$99="x",1)+IF($M$90="x",1)
&amp;"/"&amp;SUM($C$3,$I$3)-8+IF(H762="x",1)+$I$16-$B$10+$M$94+IF($C$77="x",2)-IF($C$78="x",4)-IF($I$78="x",1)-IF($I$77="x",2)-IF($I$90="x",2)+IF($I$83="x",2)-IF($C$76="x",4)-$C$112+IF(H758="x",1)+I758+$M$77+IF(H760="x",1)+IF(J760="x",1)+IF($M$76="x",2)+J758+IF($M$85="x",1)+IF($M$113="x",1)+IF($M$120="x",2)+IF($M$119="x",2)+IF($M$105="x",1)+IF($M$110="x",1)+IF($M$111="x",2)+IF($M$112="x",4)+IF($M$108="x",1)-IF($M$109="x",1)-IF($M$99="x",1)+IF($M$90="x",1)-5
&amp;"/"&amp;SUM($C$3,$I$3)-8+IF(H762="x",1)+$I$16-$B$10+$M$94+IF($C$77="x",2)-IF($C$78="x",4)-IF($I$78="x",1)-IF($I$77="x",2)-IF($I$90="x",2)+IF($I$83="x",2)-IF($C$76="x",4)-$C$112+IF(H758="x",1)+I758+$M$77+IF(H760="x",1)+IF(J760="x",1)+IF($M$76="x",2)+J758+IF($M$85="x",1)+IF($M$113="x",1)+IF($M$120="x",2)+IF($M$119="x",2)+IF($M$105="x",1)+IF($M$110="x",1)+IF($M$111="x",2)+IF($M$112="x",4)+IF($M$108="x",1)-IF($M$109="x",1)-IF($M$99="x",1)+IF($M$90="x",1)-10
&amp;"/"&amp;SUM($C$3,$I$3)-8+IF(H762="x",1)+$I$16-$B$10+$M$94+IF($C$77="x",2)-IF($C$78="x",4)-IF($I$78="x",1)-IF($I$77="x",2)-IF($I$90="x",2)+IF($I$83="x",2)-IF($C$76="x",4)-$C$112+IF(H758="x",1)+I758+$M$77+IF(H760="x",1)+IF(J760="x",1)+IF($M$76="x",2)+J758+IF($M$85="x",1)+IF($M$113="x",1)+IF($M$120="x",2)+IF($M$119="x",2)+IF($M$105="x",1)+IF($M$110="x",1)+IF($M$111="x",2)+IF($M$112="x",4)+IF($M$108="x",1)-IF($M$109="x",1)-IF($M$99="x",1)+IF($M$90="x",1)-15)</f>
        <v>-8</v>
      </c>
      <c r="C762" s="82"/>
      <c r="D762" s="121"/>
      <c r="E762" s="82"/>
      <c r="F762" s="82"/>
      <c r="G762" s="82"/>
      <c r="H762" s="28"/>
      <c r="K762" s="82"/>
      <c r="AB762" s="68"/>
      <c r="AC762" s="66"/>
      <c r="AD762" s="128"/>
      <c r="AE762" s="66"/>
      <c r="AF762" s="128"/>
      <c r="AG762" s="66"/>
      <c r="AH762" s="49"/>
      <c r="AI762" s="40"/>
      <c r="AJ762" s="40"/>
      <c r="AK762" s="40"/>
      <c r="AL762" s="40"/>
    </row>
    <row r="763" spans="1:38" x14ac:dyDescent="0.2">
      <c r="A763" s="127">
        <f>A758*6</f>
        <v>600</v>
      </c>
      <c r="B763" s="123">
        <f>_xlfn.IFS($I$85="x","PAINISSA",
$I$3&lt;6,SUM($C$3,$I$3)-10+IF(H762="x",1)+$I$16-$B$10+$M$94+IF($C$77="x",2)-IF($C$78="x",4)-IF($I$78="x",1)-IF($I$77="x",2)-IF($I$90="x",2)+IF($I$83="x",2)-IF($C$76="x",4)-$C$112+IF(H758="x",1)+I758+$M$77+IF(H760="x",1)+IF(J760="x",1)+IF($M$76="x",2)+J758+IF($M$85="x",1)+IF($M$113="x",1)+IF($M$120="x",2)+IF($M$119="x",2)+IF($M$105="x",1)+IF($M$110="x",1)+IF($M$111="x",2)+IF($M$112="x",4)+IF($M$108="x",1)-IF($M$109="x",1)-IF($M$99="x",1)+IF($M$90="x",1),
$I$3&lt;11,SUM($C$3,$I$3)-10+IF(H762="x",1)+$I$16-$B$10+$M$94+IF($C$77="x",2)-IF($C$78="x",4)-IF($I$78="x",1)-IF($I$77="x",2)-IF($I$90="x",2)+IF($I$83="x",2)-IF($C$76="x",4)-$C$112+IF(H758="x",1)+I758+$M$77+IF(H760="x",1)+IF(J760="x",1)+IF($M$76="x",2)+J758+IF($M$85="x",1)+IF($M$113="x",1)+IF($M$120="x",2)+IF($M$119="x",2)+IF($M$105="x",1)+IF($M$110="x",1)+IF($M$111="x",2)+IF($M$112="x",4)+IF($M$108="x",1)-IF($M$109="x",1)-IF($M$99="x",1)+IF($M$90="x",1)
&amp;"/"&amp;SUM($C$3,$I$3)-10+IF(H762="x",1)+$I$16-$B$10+$M$94+IF($C$77="x",2)-IF($C$78="x",4)-IF($I$78="x",1)-IF($I$77="x",2)-IF($I$90="x",2)+IF($I$83="x",2)-IF($C$76="x",4)-$C$112+IF(H758="x",1)+I758+$M$77+IF(H760="x",1)+IF(J760="x",1)+IF($M$76="x",2)+J758+IF($M$85="x",1)+IF($M$113="x",1)+IF($M$120="x",2)+IF($M$119="x",2)+IF($M$105="x",1)+IF($M$110="x",1)+IF($M$111="x",2)+IF($M$112="x",4)+IF($M$108="x",1)-IF($M$109="x",1)-IF($M$99="x",1)+IF($M$90="x",1)-5,
$I$3&lt;16,SUM($C$3,$I$3)-10+IF(H762="x",1)+$I$16-$B$10+$M$94+IF($C$77="x",2)-IF($C$78="x",4)-IF($I$78="x",1)-IF($I$77="x",2)-IF($I$90="x",2)+IF($I$83="x",2)-IF($C$76="x",4)-$C$112+IF(H758="x",1)+I758+$M$77+IF(H760="x",1)+IF(J760="x",1)+IF($M$76="x",2)+J758+IF($M$85="x",1)+IF($M$113="x",1)+IF($M$120="x",2)+IF($M$119="x",2)+IF($M$105="x",1)+IF($M$110="x",1)+IF($M$111="x",2)+IF($M$112="x",4)+IF($M$108="x",1)-IF($M$109="x",1)-IF($M$99="x",1)+IF($M$90="x",1)
&amp;"/"&amp;SUM($C$3,$I$3)-10+IF(H762="x",1)+$I$16-$B$10+$M$94+IF($C$77="x",2)-IF($C$78="x",4)-IF($I$78="x",1)-IF($I$77="x",2)-IF($I$90="x",2)+IF($I$83="x",2)-IF($C$76="x",4)-$C$112+IF(H758="x",1)+I758+$M$77+IF(H760="x",1)+IF(J760="x",1)+IF($M$76="x",2)+J758+IF($M$85="x",1)+IF($M$113="x",1)+IF($M$120="x",2)+IF($M$119="x",2)+IF($M$105="x",1)+IF($M$110="x",1)+IF($M$111="x",2)+IF($M$112="x",4)+IF($M$108="x",1)-IF($M$109="x",1)-IF($M$99="x",1)+IF($M$90="x",1)-5
&amp;"/"&amp;SUM($C$3,$I$3)-10+IF(H762="x",1)+$I$16-$B$10+$M$94+IF($C$77="x",2)-IF($C$78="x",4)-IF($I$78="x",1)-IF($I$77="x",2)-IF($I$90="x",2)+IF($I$83="x",2)-IF($C$76="x",4)-$C$112+IF(H758="x",1)+I758+$M$77+IF(H760="x",1)+IF(J760="x",1)+IF($M$76="x",2)+J758+IF($M$85="x",1)+IF($M$113="x",1)+IF($M$120="x",2)+IF($M$119="x",2)+IF($M$105="x",1)+IF($M$110="x",1)+IF($M$111="x",2)+IF($M$112="x",4)+IF($M$108="x",1)-IF($M$109="x",1)-IF($M$99="x",1)+IF($M$90="x",1)-10,
$I$3&gt;=16,SUM($C$3,$I$3)-10+IF(H762="x",1)+$I$16-$B$10+$M$94+IF($C$77="x",2)-IF($C$78="x",4)-IF($I$78="x",1)-IF($I$77="x",2)-IF($I$90="x",2)+IF($I$83="x",2)-IF($C$76="x",4)-$C$112+IF(H758="x",1)+I758+$M$77+IF(H760="x",1)+IF(J760="x",1)+IF($M$76="x",2)+J758+IF($M$85="x",1)+IF($M$113="x",1)+IF($M$120="x",2)+IF($M$119="x",2)+IF($M$105="x",1)+IF($M$110="x",1)+IF($M$111="x",2)+IF($M$112="x",4)+IF($M$108="x",1)-IF($M$109="x",1)-IF($M$99="x",1)+IF($M$90="x",1)
&amp;"/"&amp;SUM($C$3,$I$3)-10+IF(H762="x",1)+$I$16-$B$10+$M$94+IF($C$77="x",2)-IF($C$78="x",4)-IF($I$78="x",1)-IF($I$77="x",2)-IF($I$90="x",2)+IF($I$83="x",2)-IF($C$76="x",4)-$C$112+IF(H758="x",1)+I758+$M$77+IF(H760="x",1)+IF(J760="x",1)+IF($M$76="x",2)+J758+IF($M$85="x",1)+IF($M$113="x",1)+IF($M$120="x",2)+IF($M$119="x",2)+IF($M$105="x",1)+IF($M$110="x",1)+IF($M$111="x",2)+IF($M$112="x",4)+IF($M$108="x",1)-IF($M$109="x",1)-IF($M$99="x",1)+IF($M$90="x",1)-5
&amp;"/"&amp;SUM($C$3,$I$3)-10+IF(H762="x",1)+$I$16-$B$10+$M$94+IF($C$77="x",2)-IF($C$78="x",4)-IF($I$78="x",1)-IF($I$77="x",2)-IF($I$90="x",2)+IF($I$83="x",2)-IF($C$76="x",4)-$C$112+IF(H758="x",1)+I758+$M$77+IF(H760="x",1)+IF(J760="x",1)+IF($M$76="x",2)+J758+IF($M$85="x",1)+IF($M$113="x",1)+IF($M$120="x",2)+IF($M$119="x",2)+IF($M$105="x",1)+IF($M$110="x",1)+IF($M$111="x",2)+IF($M$112="x",4)+IF($M$108="x",1)-IF($M$109="x",1)-IF($M$99="x",1)+IF($M$90="x",1)-10
&amp;"/"&amp;SUM($C$3,$I$3)-10+IF(H762="x",1)+$I$16-$B$10+$M$94+IF($C$77="x",2)-IF($C$78="x",4)-IF($I$78="x",1)-IF($I$77="x",2)-IF($I$90="x",2)+IF($I$83="x",2)-IF($C$76="x",4)-$C$112+IF(H758="x",1)+I758+$M$77+IF(H760="x",1)+IF(J760="x",1)+IF($M$76="x",2)+J758+IF($M$85="x",1)+IF($M$113="x",1)+IF($M$120="x",2)+IF($M$119="x",2)+IF($M$105="x",1)+IF($M$110="x",1)+IF($M$111="x",2)+IF($M$112="x",4)+IF($M$108="x",1)-IF($M$109="x",1)-IF($M$99="x",1)+IF($M$90="x",1)-15)</f>
        <v>-10</v>
      </c>
      <c r="C763" s="82"/>
      <c r="D763" s="121"/>
      <c r="E763" s="82"/>
      <c r="F763" s="82"/>
      <c r="G763" s="82"/>
      <c r="H763" s="82"/>
      <c r="I763" s="25"/>
      <c r="J763" s="64"/>
      <c r="K763" s="64"/>
      <c r="AB763" s="68"/>
      <c r="AC763" s="66"/>
      <c r="AD763" s="128"/>
      <c r="AE763" s="66"/>
      <c r="AF763" s="128"/>
      <c r="AG763" s="66"/>
      <c r="AH763" s="49"/>
      <c r="AI763" s="48"/>
    </row>
    <row r="764" spans="1:38" x14ac:dyDescent="0.2">
      <c r="A764" s="126">
        <f>A758*7</f>
        <v>700</v>
      </c>
      <c r="B764" s="121">
        <f>_xlfn.IFS($I$85="x","PAINISSA",
$I$3&lt;6,SUM($C$3,$I$3)-12+IF(H762="x",1)+$I$16-$B$10+$M$94+IF($C$77="x",2)-IF($C$78="x",4)-IF($I$78="x",1)-IF($I$77="x",2)-IF($I$90="x",2)+IF($I$83="x",2)-IF($C$76="x",4)-$C$112+IF(H758="x",1)+I758+$M$77+IF(H760="x",1)+IF(J760="x",1)+IF($M$76="x",2)+J758+IF($M$85="x",1)+IF($M$113="x",1)+IF($M$120="x",2)+IF($M$119="x",2)+IF($M$105="x",1)+IF($M$110="x",1)+IF($M$111="x",2)+IF($M$112="x",4)+IF($M$108="x",1)-IF($M$109="x",1)-IF($M$99="x",1)+IF($M$90="x",1),
$I$3&lt;11,SUM($C$3,$I$3)-12+IF(H762="x",1)+$I$16-$B$10+$M$94+IF($C$77="x",2)-IF($C$78="x",4)-IF($I$78="x",1)-IF($I$77="x",2)-IF($I$90="x",2)+IF($I$83="x",2)-IF($C$76="x",4)-$C$112+IF(H758="x",1)+I758+$M$77+IF(H760="x",1)+IF(J760="x",1)+IF($M$76="x",2)+J758+IF($M$85="x",1)+IF($M$113="x",1)+IF($M$120="x",2)+IF($M$119="x",2)+IF($M$105="x",1)+IF($M$110="x",1)+IF($M$111="x",2)+IF($M$112="x",4)+IF($M$108="x",1)-IF($M$109="x",1)-IF($M$99="x",1)+IF($M$90="x",1)
&amp;"/"&amp;SUM($C$3,$I$3)-12+IF(H762="x",1)+$I$16-$B$10+$M$94+IF($C$77="x",2)-IF($C$78="x",4)-IF($I$78="x",1)-IF($I$77="x",2)-IF($I$90="x",2)+IF($I$83="x",2)-IF($C$76="x",4)-$C$112+IF(H758="x",1)+I758+$M$77+IF(H760="x",1)+IF(J760="x",1)+IF($M$76="x",2)+J758+IF($M$85="x",1)+IF($M$113="x",1)+IF($M$120="x",2)+IF($M$119="x",2)+IF($M$105="x",1)+IF($M$110="x",1)+IF($M$111="x",2)+IF($M$112="x",4)+IF($M$108="x",1)-IF($M$109="x",1)-IF($M$99="x",1)+IF($M$90="x",1)-5,
$I$3&lt;16,SUM($C$3,$I$3)-12+IF(H762="x",1)+$I$16-$B$10+$M$94+IF($C$77="x",2)-IF($C$78="x",4)-IF($I$78="x",1)-IF($I$77="x",2)-IF($I$90="x",2)+IF($I$83="x",2)-IF($C$76="x",4)-$C$112+IF(H758="x",1)+I758+$M$77+IF(H760="x",1)+IF(J760="x",1)+IF($M$76="x",2)+J758+IF($M$85="x",1)+IF($M$113="x",1)+IF($M$120="x",2)+IF($M$119="x",2)+IF($M$105="x",1)+IF($M$110="x",1)+IF($M$111="x",2)+IF($M$112="x",4)+IF($M$108="x",1)-IF($M$109="x",1)-IF($M$99="x",1)+IF($M$90="x",1)
&amp;"/"&amp;SUM($C$3,$I$3)-12+IF(H762="x",1)+$I$16-$B$10+$M$94+IF($C$77="x",2)-IF($C$78="x",4)-IF($I$78="x",1)-IF($I$77="x",2)-IF($I$90="x",2)+IF($I$83="x",2)-IF($C$76="x",4)-$C$112+IF(H758="x",1)+I758+$M$77+IF(H760="x",1)+IF(J760="x",1)+IF($M$76="x",2)+J758+IF($M$85="x",1)+IF($M$113="x",1)+IF($M$120="x",2)+IF($M$119="x",2)+IF($M$105="x",1)+IF($M$110="x",1)+IF($M$111="x",2)+IF($M$112="x",4)+IF($M$108="x",1)-IF($M$109="x",1)-IF($M$99="x",1)+IF($M$90="x",1)-5
&amp;"/"&amp;SUM($C$3,$I$3)-12+IF(H762="x",1)+$I$16-$B$10+$M$94+IF($C$77="x",2)-IF($C$78="x",4)-IF($I$78="x",1)-IF($I$77="x",2)-IF($I$90="x",2)+IF($I$83="x",2)-IF($C$76="x",4)-$C$112+IF(H758="x",1)+I758+$M$77+IF(H760="x",1)+IF(J760="x",1)+IF($M$76="x",2)+J758+IF($M$85="x",1)+IF($M$113="x",1)+IF($M$120="x",2)+IF($M$119="x",2)+IF($M$105="x",1)+IF($M$110="x",1)+IF($M$111="x",2)+IF($M$112="x",4)+IF($M$108="x",1)-IF($M$109="x",1)-IF($M$99="x",1)+IF($M$90="x",1)-10,
$I$3&gt;=16,SUM($C$3,$I$3)-12+IF(H762="x",1)+$I$16-$B$10+$M$94+IF($C$77="x",2)-IF($C$78="x",4)-IF($I$78="x",1)-IF($I$77="x",2)-IF($I$90="x",2)+IF($I$83="x",2)-IF($C$76="x",4)-$C$112+IF(H758="x",1)+I758+$M$77+IF(H760="x",1)+IF(J760="x",1)+IF($M$76="x",2)+J758+IF($M$85="x",1)+IF($M$113="x",1)+IF($M$120="x",2)+IF($M$119="x",2)+IF($M$105="x",1)+IF($M$110="x",1)+IF($M$111="x",2)+IF($M$112="x",4)+IF($M$108="x",1)-IF($M$109="x",1)-IF($M$99="x",1)+IF($M$90="x",1)
&amp;"/"&amp;SUM($C$3,$I$3)-12+IF(H762="x",1)+$I$16-$B$10+$M$94+IF($C$77="x",2)-IF($C$78="x",4)-IF($I$78="x",1)-IF($I$77="x",2)-IF($I$90="x",2)+IF($I$83="x",2)-IF($C$76="x",4)-$C$112+IF(H758="x",1)+I758+$M$77+IF(H760="x",1)+IF(J760="x",1)+IF($M$76="x",2)+J758+IF($M$85="x",1)+IF($M$113="x",1)+IF($M$120="x",2)+IF($M$119="x",2)+IF($M$105="x",1)+IF($M$110="x",1)+IF($M$111="x",2)+IF($M$112="x",4)+IF($M$108="x",1)-IF($M$109="x",1)-IF($M$99="x",1)+IF($M$90="x",1)-5
&amp;"/"&amp;SUM($C$3,$I$3)-12+IF(H762="x",1)+$I$16-$B$10+$M$94+IF($C$77="x",2)-IF($C$78="x",4)-IF($I$78="x",1)-IF($I$77="x",2)-IF($I$90="x",2)+IF($I$83="x",2)-IF($C$76="x",4)-$C$112+IF(H758="x",1)+I758+$M$77+IF(H760="x",1)+IF(J760="x",1)+IF($M$76="x",2)+J758+IF($M$85="x",1)+IF($M$113="x",1)+IF($M$120="x",2)+IF($M$119="x",2)+IF($M$105="x",1)+IF($M$110="x",1)+IF($M$111="x",2)+IF($M$112="x",4)+IF($M$108="x",1)-IF($M$109="x",1)-IF($M$99="x",1)+IF($M$90="x",1)-10
&amp;"/"&amp;SUM($C$3,$I$3)-12+IF(H762="x",1)+$I$16-$B$10+$M$94+IF($C$77="x",2)-IF($C$78="x",4)-IF($I$78="x",1)-IF($I$77="x",2)-IF($I$90="x",2)+IF($I$83="x",2)-IF($C$76="x",4)-$C$112+IF(H758="x",1)+I758+$M$77+IF(H760="x",1)+IF(J760="x",1)+IF($M$76="x",2)+J758+IF($M$85="x",1)+IF($M$113="x",1)+IF($M$120="x",2)+IF($M$119="x",2)+IF($M$105="x",1)+IF($M$110="x",1)+IF($M$111="x",2)+IF($M$112="x",4)+IF($M$108="x",1)-IF($M$109="x",1)-IF($M$99="x",1)+IF($M$90="x",1)-15)</f>
        <v>-12</v>
      </c>
      <c r="C764" s="82"/>
      <c r="D764" s="121"/>
      <c r="E764" s="82"/>
      <c r="F764" s="82"/>
      <c r="G764" s="82"/>
      <c r="H764" s="82"/>
      <c r="J764" s="64"/>
      <c r="K764" s="64"/>
      <c r="AB764" s="68"/>
      <c r="AC764" s="66"/>
      <c r="AD764" s="128"/>
      <c r="AE764" s="66"/>
      <c r="AF764" s="128"/>
      <c r="AG764" s="66"/>
      <c r="AH764" s="49"/>
      <c r="AI764" s="40"/>
      <c r="AK764" s="50"/>
      <c r="AL764" s="50"/>
    </row>
    <row r="765" spans="1:38" x14ac:dyDescent="0.2">
      <c r="A765" s="127">
        <f>A758*8</f>
        <v>800</v>
      </c>
      <c r="B765" s="123">
        <f>_xlfn.IFS($I$85="x","PAINISSA",
$I$3&lt;6,SUM($C$3,$I$3)-14+IF(H762="x",1)+$I$16-$B$10+$M$94+IF($C$77="x",2)-IF($C$78="x",4)-IF($I$78="x",1)-IF($I$77="x",2)-IF($I$90="x",2)+IF($I$83="x",2)-IF($C$76="x",4)-$C$112+IF(H758="x",1)+I758+$M$77+IF(H760="x",1)+IF(J760="x",1)+IF($M$76="x",2)+J758+IF($M$85="x",1)+IF($M$113="x",1)+IF($M$120="x",2)+IF($M$119="x",2)+IF($M$105="x",1)+IF($M$110="x",1)+IF($M$111="x",2)+IF($M$112="x",4)+IF($M$108="x",1)-IF($M$109="x",1)-IF($M$99="x",1)+IF($M$90="x",1),
$I$3&lt;11,SUM($C$3,$I$3)-14+IF(H762="x",1)+$I$16-$B$10+$M$94+IF($C$77="x",2)-IF($C$78="x",4)-IF($I$78="x",1)-IF($I$77="x",2)-IF($I$90="x",2)+IF($I$83="x",2)-IF($C$76="x",4)-$C$112+IF(H758="x",1)+I758+$M$77+IF(H760="x",1)+IF(J760="x",1)+IF($M$76="x",2)+J758+IF($M$85="x",1)+IF($M$113="x",1)+IF($M$120="x",2)+IF($M$119="x",2)+IF($M$105="x",1)+IF($M$110="x",1)+IF($M$111="x",2)+IF($M$112="x",4)+IF($M$108="x",1)-IF($M$109="x",1)-IF($M$99="x",1)+IF($M$90="x",1)
&amp;"/"&amp;SUM($C$3,$I$3)-14+IF(H762="x",1)+$I$16-$B$10+$M$94+IF($C$77="x",2)-IF($C$78="x",4)-IF($I$78="x",1)-IF($I$77="x",2)-IF($I$90="x",2)+IF($I$83="x",2)-IF($C$76="x",4)-$C$112+IF(H758="x",1)+I758+$M$77+IF(H760="x",1)+IF(J760="x",1)+IF($M$76="x",2)+J758+IF($M$85="x",1)+IF($M$113="x",1)+IF($M$120="x",2)+IF($M$119="x",2)+IF($M$105="x",1)+IF($M$110="x",1)+IF($M$111="x",2)+IF($M$112="x",4)+IF($M$108="x",1)-IF($M$109="x",1)-IF($M$99="x",1)+IF($M$90="x",1)-5,
$I$3&lt;16,SUM($C$3,$I$3)-14+IF(H762="x",1)+$I$16-$B$10+$M$94+IF($C$77="x",2)-IF($C$78="x",4)-IF($I$78="x",1)-IF($I$77="x",2)-IF($I$90="x",2)+IF($I$83="x",2)-IF($C$76="x",4)-$C$112+IF(H758="x",1)+I758+$M$77+IF(H760="x",1)+IF(J760="x",1)+IF($M$76="x",2)+J758+IF($M$85="x",1)+IF($M$113="x",1)+IF($M$120="x",2)+IF($M$119="x",2)+IF($M$105="x",1)+IF($M$110="x",1)+IF($M$111="x",2)+IF($M$112="x",4)+IF($M$108="x",1)-IF($M$109="x",1)-IF($M$99="x",1)+IF($M$90="x",1)
&amp;"/"&amp;SUM($C$3,$I$3)-14+IF(H762="x",1)+$I$16-$B$10+$M$94+IF($C$77="x",2)-IF($C$78="x",4)-IF($I$78="x",1)-IF($I$77="x",2)-IF($I$90="x",2)+IF($I$83="x",2)-IF($C$76="x",4)-$C$112+IF(H758="x",1)+I758+$M$77+IF(H760="x",1)+IF(J760="x",1)+IF($M$76="x",2)+J758+IF($M$85="x",1)+IF($M$113="x",1)+IF($M$120="x",2)+IF($M$119="x",2)+IF($M$105="x",1)+IF($M$110="x",1)+IF($M$111="x",2)+IF($M$112="x",4)+IF($M$108="x",1)-IF($M$109="x",1)-IF($M$99="x",1)+IF($M$90="x",1)-5
&amp;"/"&amp;SUM($C$3,$I$3)-14+IF(H762="x",1)+$I$16-$B$10+$M$94+IF($C$77="x",2)-IF($C$78="x",4)-IF($I$78="x",1)-IF($I$77="x",2)-IF($I$90="x",2)+IF($I$83="x",2)-IF($C$76="x",4)-$C$112+IF(H758="x",1)+I758+$M$77+IF(H760="x",1)+IF(J760="x",1)+IF($M$76="x",2)+J758+IF($M$85="x",1)+IF($M$113="x",1)+IF($M$120="x",2)+IF($M$119="x",2)+IF($M$105="x",1)+IF($M$110="x",1)+IF($M$111="x",2)+IF($M$112="x",4)+IF($M$108="x",1)-IF($M$109="x",1)-IF($M$99="x",1)+IF($M$90="x",1)-10,
$I$3&gt;=16,SUM($C$3,$I$3)-14+IF(H762="x",1)+$I$16-$B$10+$M$94+IF($C$77="x",2)-IF($C$78="x",4)-IF($I$78="x",1)-IF($I$77="x",2)-IF($I$90="x",2)+IF($I$83="x",2)-IF($C$76="x",4)-$C$112+IF(H758="x",1)+I758+$M$77+IF(H760="x",1)+IF(J760="x",1)+IF($M$76="x",2)+J758+IF($M$85="x",1)+IF($M$113="x",1)+IF($M$120="x",2)+IF($M$119="x",2)+IF($M$105="x",1)+IF($M$110="x",1)+IF($M$111="x",2)+IF($M$112="x",4)+IF($M$108="x",1)-IF($M$109="x",1)-IF($M$99="x",1)+IF($M$90="x",1)
&amp;"/"&amp;SUM($C$3,$I$3)-14+IF(H762="x",1)+$I$16-$B$10+$M$94+IF($C$77="x",2)-IF($C$78="x",4)-IF($I$78="x",1)-IF($I$77="x",2)-IF($I$90="x",2)+IF($I$83="x",2)-IF($C$76="x",4)-$C$112+IF(H758="x",1)+I758+$M$77+IF(H760="x",1)+IF(J760="x",1)+IF($M$76="x",2)+J758+IF($M$85="x",1)+IF($M$113="x",1)+IF($M$120="x",2)+IF($M$119="x",2)+IF($M$105="x",1)+IF($M$110="x",1)+IF($M$111="x",2)+IF($M$112="x",4)+IF($M$108="x",1)-IF($M$109="x",1)-IF($M$99="x",1)+IF($M$90="x",1)-5
&amp;"/"&amp;SUM($C$3,$I$3)-14+IF(H762="x",1)+$I$16-$B$10+$M$94+IF($C$77="x",2)-IF($C$78="x",4)-IF($I$78="x",1)-IF($I$77="x",2)-IF($I$90="x",2)+IF($I$83="x",2)-IF($C$76="x",4)-$C$112+IF(H758="x",1)+I758+$M$77+IF(H760="x",1)+IF(J760="x",1)+IF($M$76="x",2)+J758+IF($M$85="x",1)+IF($M$113="x",1)+IF($M$120="x",2)+IF($M$119="x",2)+IF($M$105="x",1)+IF($M$110="x",1)+IF($M$111="x",2)+IF($M$112="x",4)+IF($M$108="x",1)-IF($M$109="x",1)-IF($M$99="x",1)+IF($M$90="x",1)-10
&amp;"/"&amp;SUM($C$3,$I$3)-14+IF(H762="x",1)+$I$16-$B$10+$M$94+IF($C$77="x",2)-IF($C$78="x",4)-IF($I$78="x",1)-IF($I$77="x",2)-IF($I$90="x",2)+IF($I$83="x",2)-IF($C$76="x",4)-$C$112+IF(H758="x",1)+I758+$M$77+IF(H760="x",1)+IF(J760="x",1)+IF($M$76="x",2)+J758+IF($M$85="x",1)+IF($M$113="x",1)+IF($M$120="x",2)+IF($M$119="x",2)+IF($M$105="x",1)+IF($M$110="x",1)+IF($M$111="x",2)+IF($M$112="x",4)+IF($M$108="x",1)-IF($M$109="x",1)-IF($M$99="x",1)+IF($M$90="x",1)-15)</f>
        <v>-14</v>
      </c>
      <c r="C765" s="82"/>
      <c r="D765" s="121"/>
      <c r="E765" s="82"/>
      <c r="F765" s="82"/>
      <c r="G765" s="82"/>
      <c r="H765" s="82"/>
      <c r="I765" s="82"/>
      <c r="J765" s="64"/>
      <c r="K765" s="64"/>
    </row>
    <row r="766" spans="1:38" x14ac:dyDescent="0.2">
      <c r="A766" s="126">
        <f>A758*9</f>
        <v>900</v>
      </c>
      <c r="B766" s="121">
        <f>_xlfn.IFS($I$85="x","PAINISSA",
$I$3&lt;6,SUM($C$3,$I$3)-16+IF(H762="x",1)+$I$16-$B$10+$M$94+IF($C$77="x",2)-IF($C$78="x",4)-IF($I$78="x",1)-IF($I$77="x",2)-IF($I$90="x",2)+IF($I$83="x",2)-IF($C$76="x",4)-$C$112+IF(H758="x",1)+I758+$M$77+IF(H760="x",1)+IF(J760="x",1)+IF($M$76="x",2)+J758+IF($M$85="x",1)+IF($M$113="x",1)+IF($M$120="x",2)+IF($M$119="x",2)+IF($M$105="x",1)+IF($M$110="x",1)+IF($M$111="x",2)+IF($M$112="x",4)+IF($M$108="x",1)-IF($M$109="x",1)-IF($M$99="x",1)+IF($M$90="x",1),
$I$3&lt;11,SUM($C$3,$I$3)-16+IF(H762="x",1)+$I$16-$B$10+$M$94+IF($C$77="x",2)-IF($C$78="x",4)-IF($I$78="x",1)-IF($I$77="x",2)-IF($I$90="x",2)+IF($I$83="x",2)-IF($C$76="x",4)-$C$112+IF(H758="x",1)+I758+$M$77+IF(H760="x",1)+IF(J760="x",1)+IF($M$76="x",2)+J758+IF($M$85="x",1)+IF($M$113="x",1)+IF($M$120="x",2)+IF($M$119="x",2)+IF($M$105="x",1)+IF($M$110="x",1)+IF($M$111="x",2)+IF($M$112="x",4)+IF($M$108="x",1)-IF($M$109="x",1)-IF($M$99="x",1)+IF($M$90="x",1)
&amp;"/"&amp;SUM($C$3,$I$3)-16+IF(H762="x",1)+$I$16-$B$10+$M$94+IF($C$77="x",2)-IF($C$78="x",4)-IF($I$78="x",1)-IF($I$77="x",2)-IF($I$90="x",2)+IF($I$83="x",2)-IF($C$76="x",4)-$C$112+IF(H758="x",1)+I758+$M$77+IF(H760="x",1)+IF(J760="x",1)+IF($M$76="x",2)+J758+IF($M$85="x",1)+IF($M$113="x",1)+IF($M$120="x",2)+IF($M$119="x",2)+IF($M$105="x",1)+IF($M$110="x",1)+IF($M$111="x",2)+IF($M$112="x",4)+IF($M$108="x",1)-IF($M$109="x",1)-IF($M$99="x",1)+IF($M$90="x",1)-5,
$I$3&lt;16,SUM($C$3,$I$3)-16+IF(H762="x",1)+$I$16-$B$10+$M$94+IF($C$77="x",2)-IF($C$78="x",4)-IF($I$78="x",1)-IF($I$77="x",2)-IF($I$90="x",2)+IF($I$83="x",2)-IF($C$76="x",4)-$C$112+IF(H758="x",1)+I758+$M$77+IF(H760="x",1)+IF(J760="x",1)+IF($M$76="x",2)+J758+IF($M$85="x",1)+IF($M$113="x",1)+IF($M$120="x",2)+IF($M$119="x",2)+IF($M$105="x",1)+IF($M$110="x",1)+IF($M$111="x",2)+IF($M$112="x",4)+IF($M$108="x",1)-IF($M$109="x",1)-IF($M$99="x",1)+IF($M$90="x",1)
&amp;"/"&amp;SUM($C$3,$I$3)-16+IF(H762="x",1)+$I$16-$B$10+$M$94+IF($C$77="x",2)-IF($C$78="x",4)-IF($I$78="x",1)-IF($I$77="x",2)-IF($I$90="x",2)+IF($I$83="x",2)-IF($C$76="x",4)-$C$112+IF(H758="x",1)+I758+$M$77+IF(H760="x",1)+IF(J760="x",1)+IF($M$76="x",2)+J758+IF($M$85="x",1)+IF($M$113="x",1)+IF($M$120="x",2)+IF($M$119="x",2)+IF($M$105="x",1)+IF($M$110="x",1)+IF($M$111="x",2)+IF($M$112="x",4)+IF($M$108="x",1)-IF($M$109="x",1)-IF($M$99="x",1)+IF($M$90="x",1)-5
&amp;"/"&amp;SUM($C$3,$I$3)-16+IF(H762="x",1)+$I$16-$B$10+$M$94+IF($C$77="x",2)-IF($C$78="x",4)-IF($I$78="x",1)-IF($I$77="x",2)-IF($I$90="x",2)+IF($I$83="x",2)-IF($C$76="x",4)-$C$112+IF(H758="x",1)+I758+$M$77+IF(H760="x",1)+IF(J760="x",1)+IF($M$76="x",2)+J758+IF($M$85="x",1)+IF($M$113="x",1)+IF($M$120="x",2)+IF($M$119="x",2)+IF($M$105="x",1)+IF($M$110="x",1)+IF($M$111="x",2)+IF($M$112="x",4)+IF($M$108="x",1)-IF($M$109="x",1)-IF($M$99="x",1)+IF($M$90="x",1)-10,
$I$3&gt;=16,SUM($C$3,$I$3)-16+IF(H762="x",1)+$I$16-$B$10+$M$94+IF($C$77="x",2)-IF($C$78="x",4)-IF($I$78="x",1)-IF($I$77="x",2)-IF($I$90="x",2)+IF($I$83="x",2)-IF($C$76="x",4)-$C$112+IF(H758="x",1)+I758+$M$77+IF(H760="x",1)+IF(J760="x",1)+IF($M$76="x",2)+J758+IF($M$85="x",1)+IF($M$113="x",1)+IF($M$120="x",2)+IF($M$119="x",2)+IF($M$105="x",1)+IF($M$110="x",1)+IF($M$111="x",2)+IF($M$112="x",4)+IF($M$108="x",1)-IF($M$109="x",1)-IF($M$99="x",1)+IF($M$90="x",1)
&amp;"/"&amp;SUM($C$3,$I$3)-16+IF(H762="x",1)+$I$16-$B$10+$M$94+IF($C$77="x",2)-IF($C$78="x",4)-IF($I$78="x",1)-IF($I$77="x",2)-IF($I$90="x",2)+IF($I$83="x",2)-IF($C$76="x",4)-$C$112+IF(H758="x",1)+I758+$M$77+IF(H760="x",1)+IF(J760="x",1)+IF($M$76="x",2)+J758+IF($M$85="x",1)+IF($M$113="x",1)+IF($M$120="x",2)+IF($M$119="x",2)+IF($M$105="x",1)+IF($M$110="x",1)+IF($M$111="x",2)+IF($M$112="x",4)+IF($M$108="x",1)-IF($M$109="x",1)-IF($M$99="x",1)+IF($M$90="x",1)-5
&amp;"/"&amp;SUM($C$3,$I$3)-16+IF(H762="x",1)+$I$16-$B$10+$M$94+IF($C$77="x",2)-IF($C$78="x",4)-IF($I$78="x",1)-IF($I$77="x",2)-IF($I$90="x",2)+IF($I$83="x",2)-IF($C$76="x",4)-$C$112+IF(H758="x",1)+I758+$M$77+IF(H760="x",1)+IF(J760="x",1)+IF($M$76="x",2)+J758+IF($M$85="x",1)+IF($M$113="x",1)+IF($M$120="x",2)+IF($M$119="x",2)+IF($M$105="x",1)+IF($M$110="x",1)+IF($M$111="x",2)+IF($M$112="x",4)+IF($M$108="x",1)-IF($M$109="x",1)-IF($M$99="x",1)+IF($M$90="x",1)-10
&amp;"/"&amp;SUM($C$3,$I$3)-16+IF(H762="x",1)+$I$16-$B$10+$M$94+IF($C$77="x",2)-IF($C$78="x",4)-IF($I$78="x",1)-IF($I$77="x",2)-IF($I$90="x",2)+IF($I$83="x",2)-IF($C$76="x",4)-$C$112+IF(H758="x",1)+I758+$M$77+IF(H760="x",1)+IF(J760="x",1)+IF($M$76="x",2)+J758+IF($M$85="x",1)+IF($M$113="x",1)+IF($M$120="x",2)+IF($M$119="x",2)+IF($M$105="x",1)+IF($M$110="x",1)+IF($M$111="x",2)+IF($M$112="x",4)+IF($M$108="x",1)-IF($M$109="x",1)-IF($M$99="x",1)+IF($M$90="x",1)-15)</f>
        <v>-16</v>
      </c>
      <c r="C766" s="82"/>
      <c r="D766" s="121"/>
      <c r="E766" s="82"/>
      <c r="F766" s="82"/>
      <c r="G766" s="82"/>
      <c r="H766" s="82"/>
      <c r="I766" s="155"/>
    </row>
    <row r="767" spans="1:38" x14ac:dyDescent="0.2">
      <c r="A767" s="127">
        <f>A758*10</f>
        <v>1000</v>
      </c>
      <c r="B767" s="123">
        <f>_xlfn.IFS($I$85="x","PAINISSA",
$I$3&lt;6,SUM($C$3,$I$3)-18+IF(H762="x",1)+$I$16-$B$10+$M$94+IF($C$77="x",2)-IF($C$78="x",4)-IF($I$78="x",1)-IF($I$77="x",2)-IF($I$90="x",2)+IF($I$83="x",2)-IF($C$76="x",4)-$C$112+IF(H758="x",1)+I758+$M$77+IF(H760="x",1)+IF(J760="x",1)+IF($M$76="x",2)+J758+IF($M$85="x",1)+IF($M$113="x",1)+IF($M$120="x",2)+IF($M$119="x",2)+IF($M$105="x",1)+IF($M$110="x",1)+IF($M$111="x",2)+IF($M$112="x",4)+IF($M$108="x",1)-IF($M$109="x",1)-IF($M$99="x",1)+IF($M$90="x",1),
$I$3&lt;11,SUM($C$3,$I$3)-18+IF(H762="x",1)+$I$16-$B$10+$M$94+IF($C$77="x",2)-IF($C$78="x",4)-IF($I$78="x",1)-IF($I$77="x",2)-IF($I$90="x",2)+IF($I$83="x",2)-IF($C$76="x",4)-$C$112+IF(H758="x",1)+I758+$M$77+IF(H760="x",1)+IF(J760="x",1)+IF($M$76="x",2)+J758+IF($M$85="x",1)+IF($M$113="x",1)+IF($M$120="x",2)+IF($M$119="x",2)+IF($M$105="x",1)+IF($M$110="x",1)+IF($M$111="x",2)+IF($M$112="x",4)+IF($M$108="x",1)-IF($M$109="x",1)-IF($M$99="x",1)+IF($M$90="x",1)
&amp;"/"&amp;SUM($C$3,$I$3)-18+IF(H762="x",1)+$I$16-$B$10+$M$94+IF($C$77="x",2)-IF($C$78="x",4)-IF($I$78="x",1)-IF($I$77="x",2)-IF($I$90="x",2)+IF($I$83="x",2)-IF($C$76="x",4)-$C$112+IF(H758="x",1)+I758+$M$77+IF(H760="x",1)+IF(J760="x",1)+IF($M$76="x",2)+J758+IF($M$85="x",1)+IF($M$113="x",1)+IF($M$120="x",2)+IF($M$119="x",2)+IF($M$105="x",1)+IF($M$110="x",1)+IF($M$111="x",2)+IF($M$112="x",4)+IF($M$108="x",1)-IF($M$109="x",1)-IF($M$99="x",1)+IF($M$90="x",1)-5,
$I$3&lt;16,SUM($C$3,$I$3)-18+IF(H762="x",1)+$I$16-$B$10+$M$94+IF($C$77="x",2)-IF($C$78="x",4)-IF($I$78="x",1)-IF($I$77="x",2)-IF($I$90="x",2)+IF($I$83="x",2)-IF($C$76="x",4)-$C$112+IF(H758="x",1)+I758+$M$77+IF(H760="x",1)+IF(J760="x",1)+IF($M$76="x",2)+J758+IF($M$85="x",1)+IF($M$113="x",1)+IF($M$120="x",2)+IF($M$119="x",2)+IF($M$105="x",1)+IF($M$110="x",1)+IF($M$111="x",2)+IF($M$112="x",4)+IF($M$108="x",1)-IF($M$109="x",1)-IF($M$99="x",1)+IF($M$90="x",1)
&amp;"/"&amp;SUM($C$3,$I$3)-18+IF(H762="x",1)+$I$16-$B$10+$M$94+IF($C$77="x",2)-IF($C$78="x",4)-IF($I$78="x",1)-IF($I$77="x",2)-IF($I$90="x",2)+IF($I$83="x",2)-IF($C$76="x",4)-$C$112+IF(H758="x",1)+I758+$M$77+IF(H760="x",1)+IF(J760="x",1)+IF($M$76="x",2)+J758+IF($M$85="x",1)+IF($M$113="x",1)+IF($M$120="x",2)+IF($M$119="x",2)+IF($M$105="x",1)+IF($M$110="x",1)+IF($M$111="x",2)+IF($M$112="x",4)+IF($M$108="x",1)-IF($M$109="x",1)-IF($M$99="x",1)+IF($M$90="x",1)-5
&amp;"/"&amp;SUM($C$3,$I$3)-18+IF(H762="x",1)+$I$16-$B$10+$M$94+IF($C$77="x",2)-IF($C$78="x",4)-IF($I$78="x",1)-IF($I$77="x",2)-IF($I$90="x",2)+IF($I$83="x",2)-IF($C$76="x",4)-$C$112+IF(H758="x",1)+I758+$M$77+IF(H760="x",1)+IF(J760="x",1)+IF($M$76="x",2)+J758+IF($M$85="x",1)+IF($M$113="x",1)+IF($M$120="x",2)+IF($M$119="x",2)+IF($M$105="x",1)+IF($M$110="x",1)+IF($M$111="x",2)+IF($M$112="x",4)+IF($M$108="x",1)-IF($M$109="x",1)-IF($M$99="x",1)+IF($M$90="x",1)-10,
$I$3&gt;=16,SUM($C$3,$I$3)-18+IF(H762="x",1)+$I$16-$B$10+$M$94+IF($C$77="x",2)-IF($C$78="x",4)-IF($I$78="x",1)-IF($I$77="x",2)-IF($I$90="x",2)+IF($I$83="x",2)-IF($C$76="x",4)-$C$112+IF(H758="x",1)+I758+$M$77+IF(H760="x",1)+IF(J760="x",1)+IF($M$76="x",2)+J758+IF($M$85="x",1)+IF($M$113="x",1)+IF($M$120="x",2)+IF($M$119="x",2)+IF($M$105="x",1)+IF($M$110="x",1)+IF($M$111="x",2)+IF($M$112="x",4)+IF($M$108="x",1)-IF($M$109="x",1)-IF($M$99="x",1)+IF($M$90="x",1)
&amp;"/"&amp;SUM($C$3,$I$3)-18+IF(H762="x",1)+$I$16-$B$10+$M$94+IF($C$77="x",2)-IF($C$78="x",4)-IF($I$78="x",1)-IF($I$77="x",2)-IF($I$90="x",2)+IF($I$83="x",2)-IF($C$76="x",4)-$C$112+IF(H758="x",1)+I758+$M$77+IF(H760="x",1)+IF(J760="x",1)+IF($M$76="x",2)+J758+IF($M$85="x",1)+IF($M$113="x",1)+IF($M$120="x",2)+IF($M$119="x",2)+IF($M$105="x",1)+IF($M$110="x",1)+IF($M$111="x",2)+IF($M$112="x",4)+IF($M$108="x",1)-IF($M$109="x",1)-IF($M$99="x",1)+IF($M$90="x",1)-5
&amp;"/"&amp;SUM($C$3,$I$3)-18+IF(H762="x",1)+$I$16-$B$10+$M$94+IF($C$77="x",2)-IF($C$78="x",4)-IF($I$78="x",1)-IF($I$77="x",2)-IF($I$90="x",2)+IF($I$83="x",2)-IF($C$76="x",4)-$C$112+IF(H758="x",1)+I758+$M$77+IF(H760="x",1)+IF(J760="x",1)+IF($M$76="x",2)+J758+IF($M$85="x",1)+IF($M$113="x",1)+IF($M$120="x",2)+IF($M$119="x",2)+IF($M$105="x",1)+IF($M$110="x",1)+IF($M$111="x",2)+IF($M$112="x",4)+IF($M$108="x",1)-IF($M$109="x",1)-IF($M$99="x",1)+IF($M$90="x",1)-10
&amp;"/"&amp;SUM($C$3,$I$3)-18+IF(H762="x",1)+$I$16-$B$10+$M$94+IF($C$77="x",2)-IF($C$78="x",4)-IF($I$78="x",1)-IF($I$77="x",2)-IF($I$90="x",2)+IF($I$83="x",2)-IF($C$76="x",4)-$C$112+IF(H758="x",1)+I758+$M$77+IF(H760="x",1)+IF(J760="x",1)+IF($M$76="x",2)+J758+IF($M$85="x",1)+IF($M$113="x",1)+IF($M$120="x",2)+IF($M$119="x",2)+IF($M$105="x",1)+IF($M$110="x",1)+IF($M$111="x",2)+IF($M$112="x",4)+IF($M$108="x",1)-IF($M$109="x",1)-IF($M$99="x",1)+IF($M$90="x",1)-15)</f>
        <v>-18</v>
      </c>
      <c r="C767" s="82"/>
      <c r="D767" s="121"/>
      <c r="E767" s="82"/>
      <c r="I767" s="155"/>
      <c r="J767" s="25"/>
      <c r="K767" s="25"/>
      <c r="AB767" s="46"/>
      <c r="AC767" s="48"/>
      <c r="AD767" s="48"/>
      <c r="AE767" s="48"/>
      <c r="AF767" s="48"/>
      <c r="AG767" s="48"/>
      <c r="AH767" s="48"/>
      <c r="AI767" s="48"/>
      <c r="AJ767" s="48"/>
      <c r="AK767" s="48"/>
    </row>
    <row r="768" spans="1:38" x14ac:dyDescent="0.2">
      <c r="B768" s="15"/>
      <c r="C768" s="15"/>
      <c r="D768" s="15"/>
      <c r="F768" s="15"/>
      <c r="G768" s="15"/>
      <c r="H768" s="15"/>
      <c r="I768" s="15"/>
      <c r="AB768" s="42"/>
      <c r="AC768" s="41"/>
      <c r="AD768" s="66"/>
      <c r="AE768" s="41"/>
      <c r="AF768" s="66"/>
      <c r="AG768" s="40"/>
      <c r="AH768" s="40"/>
      <c r="AI768" s="40"/>
      <c r="AJ768" s="40"/>
      <c r="AK768" s="40"/>
      <c r="AL768" s="50"/>
    </row>
    <row r="769" spans="1:38" x14ac:dyDescent="0.2">
      <c r="B769" s="15"/>
      <c r="C769" s="15"/>
      <c r="D769" s="15"/>
      <c r="F769" s="15"/>
      <c r="G769" s="15"/>
      <c r="H769" s="15"/>
      <c r="I769" s="15"/>
      <c r="AB769" s="156"/>
      <c r="AC769" s="40"/>
      <c r="AE769" s="51"/>
      <c r="AF769" s="49"/>
      <c r="AG769" s="49"/>
      <c r="AH769" s="114"/>
      <c r="AI769" s="48"/>
      <c r="AJ769" s="48"/>
      <c r="AK769" s="48"/>
      <c r="AL769" s="48"/>
    </row>
    <row r="770" spans="1:38" x14ac:dyDescent="0.2">
      <c r="A770" s="34" t="s">
        <v>272</v>
      </c>
      <c r="B770" s="11" t="s">
        <v>1</v>
      </c>
      <c r="C770" s="11" t="s">
        <v>2</v>
      </c>
      <c r="D770" s="11" t="s">
        <v>3</v>
      </c>
      <c r="E770" s="11" t="s">
        <v>229</v>
      </c>
      <c r="F770" s="11" t="s">
        <v>3</v>
      </c>
      <c r="G770" s="11" t="s">
        <v>45</v>
      </c>
      <c r="H770" s="14" t="s">
        <v>179</v>
      </c>
      <c r="I770" s="11" t="s">
        <v>242</v>
      </c>
      <c r="J770" s="11" t="s">
        <v>224</v>
      </c>
      <c r="K770" s="11" t="s">
        <v>225</v>
      </c>
      <c r="AB770" s="156"/>
      <c r="AC770" s="40"/>
      <c r="AE770" s="50"/>
      <c r="AF770" s="50"/>
      <c r="AG770" s="50"/>
      <c r="AH770" s="49"/>
      <c r="AI770" s="40"/>
      <c r="AJ770" s="40"/>
      <c r="AK770" s="40"/>
      <c r="AL770" s="40"/>
    </row>
    <row r="771" spans="1:38" x14ac:dyDescent="0.2">
      <c r="A771" s="126">
        <f>IF($C$98="x",120*1.5,120)</f>
        <v>120</v>
      </c>
      <c r="B771" s="121">
        <f>_xlfn.IFS($I$85="x","PAINISSA",
I775="x",SUM($C$3,$I$3)+IF(H775="x",1)+$I$16-$B$10+$M$94+IF($C$77="x",2)-IF($C$78="x",4)-IF($I$78="x",1)-IF($I$77="x",2)-IF($I$90="x",2)+IF($I$83="x",2)-IF($C$76="x",4)-$C$112+IF(H771="x",1)+I771+$M$77+IF(H773="x",1)+IF(J773="x",1)+IF($M$76="x",2)+J771+IF($M$85="x",1)+IF($M$113="x",1)+IF($M$120="x",2)+IF($M$119="x",2)+IF($M$105="x",1)+IF($M$110="x",1)+IF($M$111="x",2)+IF($M$112="x",4)+IF($M$108="x",1)-IF($M$109="x",1)-IF($M$99="x",1)+IF($M$90="x",1)-2,
J775="x",SUM($C$3,$I$3)+IF(H775="x",1)+$I$16-$B$10+$M$94+IF($C$77="x",2)-IF($C$78="x",4)-IF($I$78="x",1)-IF($I$77="x",2)-IF($I$90="x",2)+IF($I$83="x",2)-IF($C$76="x",4)-$C$112+IF(H771="x",1)+I771+$M$77+IF(H773="x",1)+IF(J773="x",1)+IF($M$76="x",2)+J771+IF($M$85="x",1)+IF($M$113="x",1)+IF($M$120="x",2)+IF($M$119="x",2)+IF($M$105="x",1)+IF($M$110="x",1)+IF($M$111="x",2)+IF($M$112="x",4)+IF($M$108="x",1)-IF($M$109="x",1)-IF($M$99="x",1)+IF($M$90="x",1)-IF($C$97="x",8,10)
&amp;"/"&amp;SUM($C$3,$I$3)+IF(H775="x",1)+$I$16-$B$10+$M$94+IF($C$77="x",2)-IF($C$78="x",4)-IF($I$78="x",1)-IF($I$77="x",2)-IF($I$90="x",2)+IF($I$83="x",2)-IF($C$76="x",4)-$C$112+IF(H771="x",1)+I771+$M$77+IF(H773="x",1)+IF(J773="x",1)+IF($M$76="x",2)+J771+IF($M$85="x",1)+IF($M$113="x",1)+IF($M$120="x",2)+IF($M$119="x",2)+IF($M$105="x",1)+IF($M$110="x",1)+IF($M$111="x",2)+IF($M$112="x",4)+IF($M$108="x",1)-IF($M$109="x",1)-IF($M$99="x",1)+IF($M$90="x",1)-IF($C$97="x",8,14),
$I$3&lt;6,SUM($C$3,$I$3)+IF(H775="x",1)+$I$16-$B$10+$M$94+IF($C$77="x",2)-IF($C$78="x",4)-IF($I$78="x",1)-IF($I$77="x",2)-IF($I$90="x",2)+IF($I$83="x",2)-IF($C$76="x",4)-$C$112+IF(H771="x",1)+I771+$M$77+IF(H773="x",1)+IF(J773="x",1)+IF($M$76="x",2)+J771+IF($M$85="x",1)+IF($M$113="x",1)+IF($M$120="x",2)+IF($M$119="x",2)+IF($M$105="x",1)+IF($M$110="x",1)+IF($M$111="x",2)+IF($M$112="x",4)+IF($M$108="x",1)-IF($M$109="x",1)-IF($M$99="x",1)+IF($M$90="x",1),
$I$3&lt;11,SUM($C$3,$I$3)+IF(H775="x",1)+$I$16-$B$10+$M$94+IF($C$77="x",2)-IF($C$78="x",4)-IF($I$78="x",1)-IF($I$77="x",2)-IF($I$90="x",2)+IF($I$83="x",2)-IF($C$76="x",4)-$C$112+IF(H771="x",1)+I771+$M$77+IF(H773="x",1)+IF(J773="x",1)+IF($M$76="x",2)+J771+IF($M$85="x",1)+IF($M$113="x",1)+IF($M$120="x",2)+IF($M$119="x",2)+IF($M$105="x",1)+IF($M$110="x",1)+IF($M$111="x",2)+IF($M$112="x",4)+IF($M$108="x",1)-IF($M$109="x",1)-IF($M$99="x",1)+IF($M$90="x",1)
&amp;"/"&amp;SUM($C$3,$I$3)+IF(H775="x",1)+$I$16-$B$10+$M$94+IF($C$77="x",2)-IF($C$78="x",4)-IF($I$78="x",1)-IF($I$77="x",2)-IF($I$90="x",2)+IF($I$83="x",2)-IF($C$76="x",4)-$C$112+IF(H771="x",1)+I771+$M$77+IF(H773="x",1)+IF(J773="x",1)+IF($M$76="x",2)+J771+IF($M$85="x",1)+IF($M$113="x",1)+IF($M$120="x",2)+IF($M$119="x",2)+IF($M$105="x",1)+IF($M$110="x",1)+IF($M$111="x",2)+IF($M$112="x",4)+IF($M$108="x",1)-IF($M$109="x",1)-IF($M$99="x",1)+IF($M$90="x",1)-5,
$I$3&lt;16,SUM($C$3,$I$3)+IF(H775="x",1)+$I$16-$B$10+$M$94+IF($C$77="x",2)-IF($C$78="x",4)-IF($I$78="x",1)-IF($I$77="x",2)-IF($I$90="x",2)+IF($I$83="x",2)-IF($C$76="x",4)-$C$112+IF(H771="x",1)+I771+$M$77+IF(H773="x",1)+IF(J773="x",1)+IF($M$76="x",2)+J771+IF($M$85="x",1)+IF($M$113="x",1)+IF($M$120="x",2)+IF($M$119="x",2)+IF($M$105="x",1)+IF($M$110="x",1)+IF($M$111="x",2)+IF($M$112="x",4)+IF($M$108="x",1)-IF($M$109="x",1)-IF($M$99="x",1)+IF($M$90="x",1)
&amp;"/"&amp;SUM($C$3,$I$3)+IF(H775="x",1)+$I$16-$B$10+$M$94+IF($C$77="x",2)-IF($C$78="x",4)-IF($I$78="x",1)-IF($I$77="x",2)-IF($I$90="x",2)+IF($I$83="x",2)-IF($C$76="x",4)-$C$112+IF(H771="x",1)+I771+$M$77+IF(H773="x",1)+IF(J773="x",1)+IF($M$76="x",2)+J771+IF($M$85="x",1)+IF($M$113="x",1)+IF($M$120="x",2)+IF($M$119="x",2)+IF($M$105="x",1)+IF($M$110="x",1)+IF($M$111="x",2)+IF($M$112="x",4)+IF($M$108="x",1)-IF($M$109="x",1)-IF($M$99="x",1)+IF($M$90="x",1)-5
&amp;"/"&amp;SUM($C$3,$I$3)+IF(H775="x",1)+$I$16-$B$10+$M$94+IF($C$77="x",2)-IF($C$78="x",4)-IF($I$78="x",1)-IF($I$77="x",2)-IF($I$90="x",2)+IF($I$83="x",2)-IF($C$76="x",4)-$C$112+IF(H771="x",1)+I771+$M$77+IF(H773="x",1)+IF(J773="x",1)+IF($M$76="x",2)+J771+IF($M$85="x",1)+IF($M$113="x",1)+IF($M$120="x",2)+IF($M$119="x",2)+IF($M$105="x",1)+IF($M$110="x",1)+IF($M$111="x",2)+IF($M$112="x",4)+IF($M$108="x",1)-IF($M$109="x",1)-IF($M$99="x",1)+IF($M$90="x",1)-10,
$I$3&gt;=16,SUM($C$3,$I$3)+IF(H775="x",1)+$I$16-$B$10+$M$94+IF($C$77="x",2)-IF($C$78="x",4)-IF($I$78="x",1)-IF($I$77="x",2)-IF($I$90="x",2)+IF($I$83="x",2)-IF($C$76="x",4)-$C$112+IF(H771="x",1)+I771+$M$77+IF(H773="x",1)+IF(J773="x",1)+IF($M$76="x",2)+J771+IF($M$85="x",1)+IF($M$113="x",1)+IF($M$120="x",2)+IF($M$119="x",2)+IF($M$105="x",1)+IF($M$110="x",1)+IF($M$111="x",2)+IF($M$112="x",4)+IF($M$108="x",1)-IF($M$109="x",1)-IF($M$99="x",1)+IF($M$90="x",1)
&amp;"/"&amp;SUM($C$3,$I$3)+IF(H775="x",1)+$I$16-$B$10+$M$94+IF($C$77="x",2)-IF($C$78="x",4)-IF($I$78="x",1)-IF($I$77="x",2)-IF($I$90="x",2)+IF($I$83="x",2)-IF($C$76="x",4)-$C$112+IF(H771="x",1)+I771+$M$77+IF(H773="x",1)+IF(J773="x",1)+IF($M$76="x",2)+J771+IF($M$85="x",1)+IF($M$113="x",1)+IF($M$120="x",2)+IF($M$119="x",2)+IF($M$105="x",1)+IF($M$110="x",1)+IF($M$111="x",2)+IF($M$112="x",4)+IF($M$108="x",1)-IF($M$109="x",1)-IF($M$99="x",1)+IF($M$90="x",1)-5
&amp;"/"&amp;SUM($C$3,$I$3)+IF(H775="x",1)+$I$16-$B$10+$M$94+IF($C$77="x",2)-IF($C$78="x",4)-IF($I$78="x",1)-IF($I$77="x",2)-IF($I$90="x",2)+IF($I$83="x",2)-IF($C$76="x",4)-$C$112+IF(H771="x",1)+I771+$M$77+IF(H773="x",1)+IF(J773="x",1)+IF($M$76="x",2)+J771+IF($M$85="x",1)+IF($M$113="x",1)+IF($M$120="x",2)+IF($M$119="x",2)+IF($M$105="x",1)+IF($M$110="x",1)+IF($M$111="x",2)+IF($M$112="x",4)+IF($M$108="x",1)-IF($M$109="x",1)-IF($M$99="x",1)+IF($M$90="x",1)-10
&amp;"/"&amp;SUM($C$3,$I$3)+IF(H775="x",1)+$I$16-$B$10+$M$94+IF($C$77="x",2)-IF($C$78="x",4)-IF($I$78="x",1)-IF($I$77="x",2)-IF($I$90="x",2)+IF($I$83="x",2)-IF($C$76="x",4)-$C$112+IF(H771="x",1)+I771+$M$77+IF(H773="x",1)+IF(J773="x",1)+IF($M$76="x",2)+J771+IF($M$85="x",1)+IF($M$113="x",1)+IF($M$120="x",2)+IF($M$119="x",2)+IF($M$105="x",1)+IF($M$110="x",1)+IF($M$111="x",2)+IF($M$112="x",4)+IF($M$108="x",1)-IF($M$109="x",1)-IF($M$99="x",1)+IF($M$90="x",1)-15)</f>
        <v>0</v>
      </c>
      <c r="C771" s="49" t="str">
        <f>_xlfn.IFS($C$7="Minimaalinen","1n3",$C$7="Taskukokoinen","1n4",$C$7="Hyvin pieni","1n6",$C$7="Pieni","1n8",$C$7="Keskikokoinen","1n10",$C$7="Iso","2n8",$C$7="Valtava","3n8",$C$7="Suunnaton","4n8",$C$7="Giganttinen","6n8")</f>
        <v>1n10</v>
      </c>
      <c r="D771" s="51">
        <f>IF(H775="x",1,0)+IF(I773="x",2)+IF(K773="x",2)+I771+K771</f>
        <v>0</v>
      </c>
      <c r="E771" s="49" t="str">
        <f>_xlfn.IFS($C$7="Minimaalinen","2n3",$C$7="Taskukokoinen","2n4",$C$7="Hyvin pieni","2n6",$C$7="Pieni","2n8",$C$7="Keskikokoinen","2n10",$C$7="Iso","4n8",$C$7="Valtava","6n8",$C$7="Suunnaton","8n8",$C$7="Giganttinen","12n8")</f>
        <v>2n10</v>
      </c>
      <c r="F771" s="82">
        <f>SUM(D771*2)</f>
        <v>0</v>
      </c>
      <c r="G771" s="82" t="str">
        <f>(IF($I$89="x","50 %","")&amp;(IF($C$81="x","20 %",""))&amp;(IF($C$82="x","50 %",""&amp;IF($M$91="x","50 % (5 j 20 %)",""&amp;IF($M$115="x","50 % (5 j 20 %)","")))))</f>
        <v/>
      </c>
      <c r="H771" s="28"/>
      <c r="I771" s="17">
        <v>0</v>
      </c>
      <c r="J771" s="17">
        <v>0</v>
      </c>
      <c r="K771" s="17">
        <v>0</v>
      </c>
      <c r="AB771" s="50"/>
      <c r="AC771" s="51"/>
      <c r="AD771" s="49"/>
      <c r="AE771" s="51"/>
      <c r="AF771" s="49"/>
      <c r="AG771" s="49"/>
      <c r="AH771" s="49"/>
      <c r="AI771" s="49"/>
      <c r="AJ771" s="40"/>
    </row>
    <row r="772" spans="1:38" x14ac:dyDescent="0.2">
      <c r="A772" s="127">
        <f>A771*2</f>
        <v>240</v>
      </c>
      <c r="B772" s="123">
        <f>_xlfn.IFS($I$85="x","PAINISSA",
I775="x",SUM($C$3,$I$3)+IF(H775="x",1)+$I$16-$B$10+$M$94+IF($C$77="x",2)-IF($C$78="x",4)-IF($I$78="x",1)-IF($I$77="x",2)-IF($I$90="x",2)+IF($I$83="x",2)-IF($C$76="x",4)-$C$112+IF(H771="x",1)+I771+$M$77+IF(H773="x",1)+IF(J773="x",1)+IF($M$76="x",2)+J771+IF($M$85="x",1)+IF($M$113="x",1)+IF($M$120="x",2)+IF($M$119="x",2)+IF($M$105="x",1)+IF($M$110="x",1)+IF($M$111="x",2)+IF($M$112="x",4)+IF($M$108="x",1)-IF($M$109="x",1)-IF($M$99="x",1)+IF($M$90="x",1)-2-2,
J775="x",SUM($C$3,$I$3)+IF(H775="x",1)+$I$16-$B$10+$M$94+IF($C$77="x",2)-IF($C$78="x",4)-IF($I$78="x",1)-IF($I$77="x",2)-IF($I$90="x",2)+IF($I$83="x",2)-IF($C$76="x",4)-$C$112+IF(H771="x",1)+I771+$M$77+IF(H773="x",1)+IF(J773="x",1)+IF($M$76="x",2)+J771+IF($M$85="x",1)+IF($M$113="x",1)+IF($M$120="x",2)+IF($M$119="x",2)+IF($M$105="x",1)+IF($M$110="x",1)+IF($M$111="x",2)+IF($M$112="x",4)+IF($M$108="x",1)-IF($M$109="x",1)-IF($M$99="x",1)+IF($M$90="x",1)-IF($C$97="x",8,10)-2
&amp;"/"&amp;SUM($C$3,$I$3)+IF(H775="x",1)+$I$16-$B$10+$M$94+IF($C$77="x",2)-IF($C$78="x",4)-IF($I$78="x",1)-IF($I$77="x",2)-IF($I$90="x",2)+IF($I$83="x",2)-IF($C$76="x",4)-$C$112+IF(H771="x",1)+I771+$M$77+IF(H773="x",1)+IF(J773="x",1)+IF($M$76="x",2)+J771+IF($M$85="x",1)+IF($M$113="x",1)+IF($M$120="x",2)+IF($M$119="x",2)+IF($M$105="x",1)+IF($M$110="x",1)+IF($M$111="x",2)+IF($M$112="x",4)+IF($M$108="x",1)-IF($M$109="x",1)-IF($M$99="x",1)+IF($M$90="x",1)-IF($C$97="x",8,14)-2,
$I$3&lt;6,SUM($C$3,$I$3)+IF(H775="x",1)-2+$I$16-$B$10+$M$94+IF($C$77="x",2)-IF($C$78="x",4)-IF($I$78="x",1)-IF($I$77="x",2)-IF($I$90="x",2)+IF($I$83="x",2)-IF($C$76="x",4)-$C$112+IF(H771="x",1)+I771+$M$77+IF(H773="x",1)+IF(J773="x",1)+IF($M$76="x",2)+J771+IF($M$85="x",1)+IF($M$113="x",1)+IF($M$120="x",2)+IF($M$119="x",2)+IF($M$105="x",1)+IF($M$110="x",1)+IF($M$111="x",2)+IF($M$112="x",4)+IF($M$108="x",1)-IF($M$109="x",1)-IF($M$99="x",1)+IF($M$90="x",1),
$I$3&lt;11,SUM($C$3,$I$3)+IF(H775="x",1)-2+$I$16-$B$10+$M$94+IF($C$77="x",2)-IF($C$78="x",4)-IF($I$78="x",1)-IF($I$77="x",2)-IF($I$90="x",2)+IF($I$83="x",2)-IF($C$76="x",4)-$C$112+IF(H771="x",1)+I771+$M$77+IF(H773="x",1)+IF(J773="x",1)+IF($M$76="x",2)+J771+IF($M$85="x",1)+IF($M$113="x",1)+IF($M$120="x",2)+IF($M$119="x",2)+IF($M$105="x",1)+IF($M$110="x",1)+IF($M$111="x",2)+IF($M$112="x",4)+IF($M$108="x",1)-IF($M$109="x",1)-IF($M$99="x",1)+IF($M$90="x",1)
&amp;"/"&amp;SUM($C$3,$I$3)+IF(H775="x",1)-2+$I$16-$B$10+$M$94+IF($C$77="x",2)-IF($C$78="x",4)-IF($I$78="x",1)-IF($I$77="x",2)-IF($I$90="x",2)+IF($I$83="x",2)-IF($C$76="x",4)-$C$112+IF(H771="x",1)+I771+$M$77+IF(H773="x",1)+IF(J773="x",1)+IF($M$76="x",2)+J771+IF($M$85="x",1)+IF($M$113="x",1)+IF($M$120="x",2)+IF($M$119="x",2)+IF($M$105="x",1)+IF($M$110="x",1)+IF($M$111="x",2)+IF($M$112="x",4)+IF($M$108="x",1)-IF($M$109="x",1)-IF($M$99="x",1)+IF($M$90="x",1)-5,
$I$3&lt;16,SUM($C$3,$I$3)+IF(H775="x",1)-2+$I$16-$B$10+$M$94+IF($C$77="x",2)-IF($C$78="x",4)-IF($I$78="x",1)-IF($I$77="x",2)-IF($I$90="x",2)+IF($I$83="x",2)-IF($C$76="x",4)-$C$112+IF(H771="x",1)+I771+$M$77+IF(H773="x",1)+IF(J773="x",1)+IF($M$76="x",2)+J771+IF($M$85="x",1)+IF($M$113="x",1)+IF($M$120="x",2)+IF($M$119="x",2)+IF($M$105="x",1)+IF($M$110="x",1)+IF($M$111="x",2)+IF($M$112="x",4)+IF($M$108="x",1)-IF($M$109="x",1)-IF($M$99="x",1)+IF($M$90="x",1)
&amp;"/"&amp;SUM($C$3,$I$3)+IF(H775="x",1)-2+$I$16-$B$10+$M$94+IF($C$77="x",2)-IF($C$78="x",4)-IF($I$78="x",1)-IF($I$77="x",2)-IF($I$90="x",2)+IF($I$83="x",2)-IF($C$76="x",4)-$C$112+IF(H771="x",1)+I771+$M$77+IF(H773="x",1)+IF(J773="x",1)+IF($M$76="x",2)+J771+IF($M$85="x",1)+IF($M$113="x",1)+IF($M$120="x",2)+IF($M$119="x",2)+IF($M$105="x",1)+IF($M$110="x",1)+IF($M$111="x",2)+IF($M$112="x",4)+IF($M$108="x",1)-IF($M$109="x",1)-IF($M$99="x",1)+IF($M$90="x",1)-5
&amp;"/"&amp;SUM($C$3,$I$3)+IF(H775="x",1)-2+$I$16-$B$10+$M$94+IF($C$77="x",2)-IF($C$78="x",4)-IF($I$78="x",1)-IF($I$77="x",2)-IF($I$90="x",2)+IF($I$83="x",2)-IF($C$76="x",4)-$C$112+IF(H771="x",1)+I771+$M$77+IF(H773="x",1)+IF(J773="x",1)+IF($M$76="x",2)+J771+IF($M$85="x",1)+IF($M$113="x",1)+IF($M$120="x",2)+IF($M$119="x",2)+IF($M$105="x",1)+IF($M$110="x",1)+IF($M$111="x",2)+IF($M$112="x",4)+IF($M$108="x",1)-IF($M$109="x",1)-IF($M$99="x",1)+IF($M$90="x",1)-10,
$I$3&gt;=16,SUM($C$3,$I$3)+IF(H775="x",1)-2+$I$16-$B$10+$M$94+IF($C$77="x",2)-IF($C$78="x",4)-IF($I$78="x",1)-IF($I$77="x",2)-IF($I$90="x",2)+IF($I$83="x",2)-IF($C$76="x",4)-$C$112+IF(H771="x",1)+I771+$M$77+IF(H773="x",1)+IF(J773="x",1)+IF($M$76="x",2)+J771+IF($M$85="x",1)+IF($M$113="x",1)+IF($M$120="x",2)+IF($M$119="x",2)+IF($M$105="x",1)+IF($M$110="x",1)+IF($M$111="x",2)+IF($M$112="x",4)+IF($M$108="x",1)-IF($M$109="x",1)-IF($M$99="x",1)+IF($M$90="x",1)
&amp;"/"&amp;SUM($C$3,$I$3)+IF(H775="x",1)-2+$I$16-$B$10+$M$94+IF($C$77="x",2)-IF($C$78="x",4)-IF($I$78="x",1)-IF($I$77="x",2)-IF($I$90="x",2)+IF($I$83="x",2)-IF($C$76="x",4)-$C$112+IF(H771="x",1)+I771+$M$77+IF(H773="x",1)+IF(J773="x",1)+IF($M$76="x",2)+J771+IF($M$85="x",1)+IF($M$113="x",1)+IF($M$120="x",2)+IF($M$119="x",2)+IF($M$105="x",1)+IF($M$110="x",1)+IF($M$111="x",2)+IF($M$112="x",4)+IF($M$108="x",1)-IF($M$109="x",1)-IF($M$99="x",1)+IF($M$90="x",1)-5
&amp;"/"&amp;SUM($C$3,$I$3)+IF(H775="x",1)-2+$I$16-$B$10+$M$94+IF($C$77="x",2)-IF($C$78="x",4)-IF($I$78="x",1)-IF($I$77="x",2)-IF($I$90="x",2)+IF($I$83="x",2)-IF($C$76="x",4)-$C$112+IF(H771="x",1)+I771+$M$77+IF(H773="x",1)+IF(J773="x",1)+IF($M$76="x",2)+J771+IF($M$85="x",1)+IF($M$113="x",1)+IF($M$120="x",2)+IF($M$119="x",2)+IF($M$105="x",1)+IF($M$110="x",1)+IF($M$111="x",2)+IF($M$112="x",4)+IF($M$108="x",1)-IF($M$109="x",1)-IF($M$99="x",1)+IF($M$90="x",1)-10
&amp;"/"&amp;SUM($C$3,$I$3)+IF(H775="x",1)-2+$I$16-$B$10+$M$94+IF($C$77="x",2)-IF($C$78="x",4)-IF($I$78="x",1)-IF($I$77="x",2)-IF($I$90="x",2)+IF($I$83="x",2)-IF($C$76="x",4)-$C$112+IF(H771="x",1)+I771+$M$77+IF(H773="x",1)+IF(J773="x",1)+IF($M$76="x",2)+J771+IF($M$85="x",1)+IF($M$113="x",1)+IF($M$120="x",2)+IF($M$119="x",2)+IF($M$105="x",1)+IF($M$110="x",1)+IF($M$111="x",2)+IF($M$112="x",4)+IF($M$108="x",1)-IF($M$109="x",1)-IF($M$99="x",1)+IF($M$90="x",1)-15)</f>
        <v>-2</v>
      </c>
      <c r="C772" s="82"/>
      <c r="D772" s="121"/>
      <c r="E772" s="82"/>
      <c r="F772" s="82"/>
      <c r="G772" s="82"/>
      <c r="H772" s="14" t="s">
        <v>220</v>
      </c>
      <c r="I772" s="14" t="s">
        <v>221</v>
      </c>
      <c r="J772" s="14" t="s">
        <v>222</v>
      </c>
      <c r="K772" s="14" t="s">
        <v>223</v>
      </c>
    </row>
    <row r="773" spans="1:38" x14ac:dyDescent="0.2">
      <c r="A773" s="126">
        <f>A771*3</f>
        <v>360</v>
      </c>
      <c r="B773" s="121">
        <f>_xlfn.IFS($I$85="x","PAINISSA",
I775="x",SUM($C$3,$I$3)+IF(H775="x",1)+$I$16-$B$10+$M$94+IF($C$77="x",2)-IF($C$78="x",4)-IF($I$78="x",1)-IF($I$77="x",2)-IF($I$90="x",2)+IF($I$83="x",2)-IF($C$76="x",4)-$C$112+IF(H771="x",1)+I771+$M$77+IF(H773="x",1)+IF(J773="x",1)+IF($M$76="x",2)+J771+IF($M$85="x",1)+IF($M$113="x",1)+IF($M$120="x",2)+IF($M$119="x",2)+IF($M$105="x",1)+IF($M$110="x",1)+IF($M$111="x",2)+IF($M$112="x",4)+IF($M$108="x",1)-IF($M$109="x",1)-IF($M$99="x",1)+IF($M$90="x",1)-2-4,
J775="x",SUM($C$3,$I$3)+IF(H775="x",1)+$I$16-$B$10+$M$94+IF($C$77="x",2)-IF($C$78="x",4)-IF($I$78="x",1)-IF($I$77="x",2)-IF($I$90="x",2)+IF($I$83="x",2)-IF($C$76="x",4)-$C$112+IF(H771="x",1)+I771+$M$77+IF(H773="x",1)+IF(J773="x",1)+IF($M$76="x",2)+J771+IF($M$85="x",1)+IF($M$113="x",1)+IF($M$120="x",2)+IF($M$119="x",2)+IF($M$105="x",1)+IF($M$110="x",1)+IF($M$111="x",2)+IF($M$112="x",4)+IF($M$108="x",1)-IF($M$109="x",1)-IF($M$99="x",1)+IF($M$90="x",1)-IF($C$97="x",8,10)-4
&amp;"/"&amp;SUM($C$3,$I$3)+IF(H775="x",1)+$I$16-$B$10+$M$94+IF($C$77="x",2)-IF($C$78="x",4)-IF($I$78="x",1)-IF($I$77="x",2)-IF($I$90="x",2)+IF($I$83="x",2)-IF($C$76="x",4)-$C$112+IF(H771="x",1)+I771+$M$77+IF(H773="x",1)+IF(J773="x",1)+IF($M$76="x",2)+J771+IF($M$85="x",1)+IF($M$113="x",1)+IF($M$120="x",2)+IF($M$119="x",2)+IF($M$105="x",1)+IF($M$110="x",1)+IF($M$111="x",2)+IF($M$112="x",4)+IF($M$108="x",1)-IF($M$109="x",1)-IF($M$99="x",1)+IF($M$90="x",1)-IF($C$97="x",8,14)-4,
$I$3&lt;6,SUM($C$3,$I$3)+IF(H775="x",1)-4+$I$16-$B$10+$M$94+IF($C$77="x",2)-IF($C$78="x",4)-IF($I$78="x",1)-IF($I$77="x",2)-IF($I$90="x",2)+IF($I$83="x",2)-IF($C$76="x",4)-$C$112+IF(H771="x",1)+I771+$M$77+IF(H773="x",1)+IF(J773="x",1)+IF($M$76="x",2)+J771+IF($M$85="x",1)+IF($M$113="x",1)+IF($M$120="x",2)+IF($M$119="x",2)+IF($M$105="x",1)+IF($M$110="x",1)+IF($M$111="x",2)+IF($M$112="x",4)+IF($M$108="x",1)-IF($M$109="x",1)-IF($M$99="x",1)+IF($M$90="x",1),
$I$3&lt;11,SUM($C$3,$I$3)+IF(H775="x",1)-4+$I$16-$B$10+$M$94+IF($C$77="x",2)-IF($C$78="x",4)-IF($I$78="x",1)-IF($I$77="x",2)-IF($I$90="x",2)+IF($I$83="x",2)-IF($C$76="x",4)-$C$112+IF(H771="x",1)+I771+$M$77+IF(H773="x",1)+IF(J773="x",1)+IF($M$76="x",2)+J771+IF($M$85="x",1)+IF($M$113="x",1)+IF($M$120="x",2)+IF($M$119="x",2)+IF($M$105="x",1)+IF($M$110="x",1)+IF($M$111="x",2)+IF($M$112="x",4)+IF($M$108="x",1)-IF($M$109="x",1)-IF($M$99="x",1)+IF($M$90="x",1)
&amp;"/"&amp;SUM($C$3,$I$3)+IF(H775="x",1)-4+$I$16-$B$10+$M$94+IF($C$77="x",2)-IF($C$78="x",4)-IF($I$78="x",1)-IF($I$77="x",2)-IF($I$90="x",2)+IF($I$83="x",2)-IF($C$76="x",4)-$C$112+IF(H771="x",1)+I771+$M$77+IF(H773="x",1)+IF(J773="x",1)+IF($M$76="x",2)+J771+IF($M$85="x",1)+IF($M$113="x",1)+IF($M$120="x",2)+IF($M$119="x",2)+IF($M$105="x",1)+IF($M$110="x",1)+IF($M$111="x",2)+IF($M$112="x",4)+IF($M$108="x",1)-IF($M$109="x",1)-IF($M$99="x",1)+IF($M$90="x",1)-5,
$I$3&lt;16,SUM($C$3,$I$3)+IF(H775="x",1)-4+$I$16-$B$10+$M$94+IF($C$77="x",2)-IF($C$78="x",4)-IF($I$78="x",1)-IF($I$77="x",2)-IF($I$90="x",2)+IF($I$83="x",2)-IF($C$76="x",4)-$C$112+IF(H771="x",1)+I771+$M$77+IF(H773="x",1)+IF(J773="x",1)+IF($M$76="x",2)+J771+IF($M$85="x",1)+IF($M$113="x",1)+IF($M$120="x",2)+IF($M$119="x",2)+IF($M$105="x",1)+IF($M$110="x",1)+IF($M$111="x",2)+IF($M$112="x",4)+IF($M$108="x",1)-IF($M$109="x",1)-IF($M$99="x",1)+IF($M$90="x",1)
&amp;"/"&amp;SUM($C$3,$I$3)+IF(H775="x",1)-4+$I$16-$B$10+$M$94+IF($C$77="x",2)-IF($C$78="x",4)-IF($I$78="x",1)-IF($I$77="x",2)-IF($I$90="x",2)+IF($I$83="x",2)-IF($C$76="x",4)-$C$112+IF(H771="x",1)+I771+$M$77+IF(H773="x",1)+IF(J773="x",1)+IF($M$76="x",2)+J771+IF($M$85="x",1)+IF($M$113="x",1)+IF($M$120="x",2)+IF($M$119="x",2)+IF($M$105="x",1)+IF($M$110="x",1)+IF($M$111="x",2)+IF($M$112="x",4)+IF($M$108="x",1)-IF($M$109="x",1)-IF($M$99="x",1)+IF($M$90="x",1)-5
&amp;"/"&amp;SUM($C$3,$I$3)+IF(H775="x",1)-4+$I$16-$B$10+$M$94+IF($C$77="x",2)-IF($C$78="x",4)-IF($I$78="x",1)-IF($I$77="x",2)-IF($I$90="x",2)+IF($I$83="x",2)-IF($C$76="x",4)-$C$112+IF(H771="x",1)+I771+$M$77+IF(H773="x",1)+IF(J773="x",1)+IF($M$76="x",2)+J771+IF($M$85="x",1)+IF($M$113="x",1)+IF($M$120="x",2)+IF($M$119="x",2)+IF($M$105="x",1)+IF($M$110="x",1)+IF($M$111="x",2)+IF($M$112="x",4)+IF($M$108="x",1)-IF($M$109="x",1)-IF($M$99="x",1)+IF($M$90="x",1)-10,
$I$3&gt;=16,SUM($C$3,$I$3)+IF(H775="x",1)-4+$I$16-$B$10+$M$94+IF($C$77="x",2)-IF($C$78="x",4)-IF($I$78="x",1)-IF($I$77="x",2)-IF($I$90="x",2)+IF($I$83="x",2)-IF($C$76="x",4)-$C$112+IF(H771="x",1)+I771+$M$77+IF(H773="x",1)+IF(J773="x",1)+IF($M$76="x",2)+J771+IF($M$85="x",1)+IF($M$113="x",1)+IF($M$120="x",2)+IF($M$119="x",2)+IF($M$105="x",1)+IF($M$110="x",1)+IF($M$111="x",2)+IF($M$112="x",4)+IF($M$108="x",1)-IF($M$109="x",1)-IF($M$99="x",1)+IF($M$90="x",1)
&amp;"/"&amp;SUM($C$3,$I$3)+IF(H775="x",1)-4+$I$16-$B$10+$M$94+IF($C$77="x",2)-IF($C$78="x",4)-IF($I$78="x",1)-IF($I$77="x",2)-IF($I$90="x",2)+IF($I$83="x",2)-IF($C$76="x",4)-$C$112+IF(H771="x",1)+I771+$M$77+IF(H773="x",1)+IF(J773="x",1)+IF($M$76="x",2)+J771+IF($M$85="x",1)+IF($M$113="x",1)+IF($M$120="x",2)+IF($M$119="x",2)+IF($M$105="x",1)+IF($M$110="x",1)+IF($M$111="x",2)+IF($M$112="x",4)+IF($M$108="x",1)-IF($M$109="x",1)-IF($M$99="x",1)+IF($M$90="x",1)-5
&amp;"/"&amp;SUM($C$3,$I$3)+IF(H775="x",1)-4+$I$16-$B$10+$M$94+IF($C$77="x",2)-IF($C$78="x",4)-IF($I$78="x",1)-IF($I$77="x",2)-IF($I$90="x",2)+IF($I$83="x",2)-IF($C$76="x",4)-$C$112+IF(H771="x",1)+I771+$M$77+IF(H773="x",1)+IF(J773="x",1)+IF($M$76="x",2)+J771+IF($M$85="x",1)+IF($M$113="x",1)+IF($M$120="x",2)+IF($M$119="x",2)+IF($M$105="x",1)+IF($M$110="x",1)+IF($M$111="x",2)+IF($M$112="x",4)+IF($M$108="x",1)-IF($M$109="x",1)-IF($M$99="x",1)+IF($M$90="x",1)-10
&amp;"/"&amp;SUM($C$3,$I$3)+IF(H775="x",1)-4+$I$16-$B$10+$M$94+IF($C$77="x",2)-IF($C$78="x",4)-IF($I$78="x",1)-IF($I$77="x",2)-IF($I$90="x",2)+IF($I$83="x",2)-IF($C$76="x",4)-$C$112+IF(H771="x",1)+I771+$M$77+IF(H773="x",1)+IF(J773="x",1)+IF($M$76="x",2)+J771+IF($M$85="x",1)+IF($M$113="x",1)+IF($M$120="x",2)+IF($M$119="x",2)+IF($M$105="x",1)+IF($M$110="x",1)+IF($M$111="x",2)+IF($M$112="x",4)+IF($M$108="x",1)-IF($M$109="x",1)-IF($M$99="x",1)+IF($M$90="x",1)-15)</f>
        <v>-4</v>
      </c>
      <c r="C773" s="82"/>
      <c r="D773" s="121"/>
      <c r="E773" s="82"/>
      <c r="F773" s="82"/>
      <c r="G773" s="82"/>
      <c r="H773" s="28"/>
      <c r="I773" s="28"/>
      <c r="J773" s="28"/>
      <c r="K773" s="28"/>
      <c r="AB773" s="46"/>
      <c r="AC773" s="48"/>
      <c r="AD773" s="48"/>
      <c r="AE773" s="48"/>
      <c r="AF773" s="48"/>
      <c r="AG773" s="48"/>
      <c r="AH773" s="48"/>
      <c r="AI773" s="48"/>
      <c r="AJ773" s="48"/>
      <c r="AK773" s="48"/>
    </row>
    <row r="774" spans="1:38" x14ac:dyDescent="0.2">
      <c r="A774" s="127">
        <f>A771*4</f>
        <v>480</v>
      </c>
      <c r="B774" s="123">
        <f>_xlfn.IFS($I$85="x","PAINISSA",
I775="x",SUM($C$3,$I$3)+IF(H775="x",1)+$I$16-$B$10+$M$94+IF($C$77="x",2)-IF($C$78="x",4)-IF($I$78="x",1)-IF($I$77="x",2)-IF($I$90="x",2)+IF($I$83="x",2)-IF($C$76="x",4)-$C$112+IF(H771="x",1)+I771+$M$77+IF(H773="x",1)+IF(J773="x",1)+IF($M$76="x",2)+J771+IF($M$85="x",1)+IF($M$113="x",1)+IF($M$120="x",2)+IF($M$119="x",2)+IF($M$105="x",1)+IF($M$110="x",1)+IF($M$111="x",2)+IF($M$112="x",4)+IF($M$108="x",1)-IF($M$109="x",1)-IF($M$99="x",1)+IF($M$90="x",1)-2-6,
J775="x",SUM($C$3,$I$3)+IF(H775="x",1)+$I$16-$B$10+$M$94+IF($C$77="x",2)-IF($C$78="x",4)-IF($I$78="x",1)-IF($I$77="x",2)-IF($I$90="x",2)+IF($I$83="x",2)-IF($C$76="x",4)-$C$112+IF(H771="x",1)+I771+$M$77+IF(H773="x",1)+IF(J773="x",1)+IF($M$76="x",2)+J771+IF($M$85="x",1)+IF($M$113="x",1)+IF($M$120="x",2)+IF($M$119="x",2)+IF($M$105="x",1)+IF($M$110="x",1)+IF($M$111="x",2)+IF($M$112="x",4)+IF($M$108="x",1)-IF($M$109="x",1)-IF($M$99="x",1)+IF($M$90="x",1)-IF($C$97="x",8,10)-6
&amp;"/"&amp;SUM($C$3,$I$3)+IF(H775="x",1)+$I$16-$B$10+$M$94+IF($C$77="x",2)-IF($C$78="x",4)-IF($I$78="x",1)-IF($I$77="x",2)-IF($I$90="x",2)+IF($I$83="x",2)-IF($C$76="x",4)-$C$112+IF(H771="x",1)+I771+$M$77+IF(H773="x",1)+IF(J773="x",1)+IF($M$76="x",2)+J771+IF($M$85="x",1)+IF($M$113="x",1)+IF($M$120="x",2)+IF($M$119="x",2)+IF($M$105="x",1)+IF($M$110="x",1)+IF($M$111="x",2)+IF($M$112="x",4)+IF($M$108="x",1)-IF($M$109="x",1)-IF($M$99="x",1)+IF($M$90="x",1)-IF($C$97="x",8,14)-6,
$I$3&lt;6,SUM($C$3,$I$3)+IF(H775="x",1)-6+$I$16-$B$10+$M$94+IF($C$77="x",2)-IF($C$78="x",4)-IF($I$78="x",1)-IF($I$77="x",2)-IF($I$90="x",2)+IF($I$83="x",2)-IF($C$76="x",4)-$C$112+IF(H771="x",1)+I771+$M$77+IF(H773="x",1)+IF(J773="x",1)+IF($M$76="x",2)+J771+IF($M$85="x",1)+IF($M$113="x",1)+IF($M$120="x",2)+IF($M$119="x",2)+IF($M$105="x",1)+IF($M$110="x",1)+IF($M$111="x",2)+IF($M$112="x",4)+IF($M$108="x",1)-IF($M$109="x",1)-IF($M$99="x",1)+IF($M$90="x",1),
$I$3&lt;11,SUM($C$3,$I$3)+IF(H775="x",1)-6+$I$16-$B$10+$M$94+IF($C$77="x",2)-IF($C$78="x",4)-IF($I$78="x",1)-IF($I$77="x",2)-IF($I$90="x",2)+IF($I$83="x",2)-IF($C$76="x",4)-$C$112+IF(H771="x",1)+I771+$M$77+IF(H773="x",1)+IF(J773="x",1)+IF($M$76="x",2)+J771+IF($M$85="x",1)+IF($M$113="x",1)+IF($M$120="x",2)+IF($M$119="x",2)+IF($M$105="x",1)+IF($M$110="x",1)+IF($M$111="x",2)+IF($M$112="x",4)+IF($M$108="x",1)-IF($M$109="x",1)-IF($M$99="x",1)+IF($M$90="x",1)
&amp;"/"&amp;SUM($C$3,$I$3)+IF(H775="x",1)-6+$I$16-$B$10+$M$94+IF($C$77="x",2)-IF($C$78="x",4)-IF($I$78="x",1)-IF($I$77="x",2)-IF($I$90="x",2)+IF($I$83="x",2)-IF($C$76="x",4)-$C$112+IF(H771="x",1)+I771+$M$77+IF(H773="x",1)+IF(J773="x",1)+IF($M$76="x",2)+J771+IF($M$85="x",1)+IF($M$113="x",1)+IF($M$120="x",2)+IF($M$119="x",2)+IF($M$105="x",1)+IF($M$110="x",1)+IF($M$111="x",2)+IF($M$112="x",4)+IF($M$108="x",1)-IF($M$109="x",1)-IF($M$99="x",1)+IF($M$90="x",1)-5,
$I$3&lt;16,SUM($C$3,$I$3)+IF(H775="x",1)-6+$I$16-$B$10+$M$94+IF($C$77="x",2)-IF($C$78="x",4)-IF($I$78="x",1)-IF($I$77="x",2)-IF($I$90="x",2)+IF($I$83="x",2)-IF($C$76="x",4)-$C$112+IF(H771="x",1)+I771+$M$77+IF(H773="x",1)+IF(J773="x",1)+IF($M$76="x",2)+J771+IF($M$85="x",1)+IF($M$113="x",1)+IF($M$120="x",2)+IF($M$119="x",2)+IF($M$105="x",1)+IF($M$110="x",1)+IF($M$111="x",2)+IF($M$112="x",4)+IF($M$108="x",1)-IF($M$109="x",1)-IF($M$99="x",1)+IF($M$90="x",1)
&amp;"/"&amp;SUM($C$3,$I$3)+IF(H775="x",1)-6+$I$16-$B$10+$M$94+IF($C$77="x",2)-IF($C$78="x",4)-IF($I$78="x",1)-IF($I$77="x",2)-IF($I$90="x",2)+IF($I$83="x",2)-IF($C$76="x",4)-$C$112+IF(H771="x",1)+I771+$M$77+IF(H773="x",1)+IF(J773="x",1)+IF($M$76="x",2)+J771+IF($M$85="x",1)+IF($M$113="x",1)+IF($M$120="x",2)+IF($M$119="x",2)+IF($M$105="x",1)+IF($M$110="x",1)+IF($M$111="x",2)+IF($M$112="x",4)+IF($M$108="x",1)-IF($M$109="x",1)-IF($M$99="x",1)+IF($M$90="x",1)-5
&amp;"/"&amp;SUM($C$3,$I$3)+IF(H775="x",1)-6+$I$16-$B$10+$M$94+IF($C$77="x",2)-IF($C$78="x",4)-IF($I$78="x",1)-IF($I$77="x",2)-IF($I$90="x",2)+IF($I$83="x",2)-IF($C$76="x",4)-$C$112+IF(H771="x",1)+I771+$M$77+IF(H773="x",1)+IF(J773="x",1)+IF($M$76="x",2)+J771+IF($M$85="x",1)+IF($M$113="x",1)+IF($M$120="x",2)+IF($M$119="x",2)+IF($M$105="x",1)+IF($M$110="x",1)+IF($M$111="x",2)+IF($M$112="x",4)+IF($M$108="x",1)-IF($M$109="x",1)-IF($M$99="x",1)+IF($M$90="x",1)-10,
$I$3&gt;=16,SUM($C$3,$I$3)+IF(H775="x",1)-6+$I$16-$B$10+$M$94+IF($C$77="x",2)-IF($C$78="x",4)-IF($I$78="x",1)-IF($I$77="x",2)-IF($I$90="x",2)+IF($I$83="x",2)-IF($C$76="x",4)-$C$112+IF(H771="x",1)+I771+$M$77+IF(H773="x",1)+IF(J773="x",1)+IF($M$76="x",2)+J771+IF($M$85="x",1)+IF($M$113="x",1)+IF($M$120="x",2)+IF($M$119="x",2)+IF($M$105="x",1)+IF($M$110="x",1)+IF($M$111="x",2)+IF($M$112="x",4)+IF($M$108="x",1)-IF($M$109="x",1)-IF($M$99="x",1)+IF($M$90="x",1)
&amp;"/"&amp;SUM($C$3,$I$3)+IF(H775="x",1)-6+$I$16-$B$10+$M$94+IF($C$77="x",2)-IF($C$78="x",4)-IF($I$78="x",1)-IF($I$77="x",2)-IF($I$90="x",2)+IF($I$83="x",2)-IF($C$76="x",4)-$C$112+IF(H771="x",1)+I771+$M$77+IF(H773="x",1)+IF(J773="x",1)+IF($M$76="x",2)+J771+IF($M$85="x",1)+IF($M$113="x",1)+IF($M$120="x",2)+IF($M$119="x",2)+IF($M$105="x",1)+IF($M$110="x",1)+IF($M$111="x",2)+IF($M$112="x",4)+IF($M$108="x",1)-IF($M$109="x",1)-IF($M$99="x",1)+IF($M$90="x",1)-5
&amp;"/"&amp;SUM($C$3,$I$3)+IF(H775="x",1)-6+$I$16-$B$10+$M$94+IF($C$77="x",2)-IF($C$78="x",4)-IF($I$78="x",1)-IF($I$77="x",2)-IF($I$90="x",2)+IF($I$83="x",2)-IF($C$76="x",4)-$C$112+IF(H771="x",1)+I771+$M$77+IF(H773="x",1)+IF(J773="x",1)+IF($M$76="x",2)+J771+IF($M$85="x",1)+IF($M$113="x",1)+IF($M$120="x",2)+IF($M$119="x",2)+IF($M$105="x",1)+IF($M$110="x",1)+IF($M$111="x",2)+IF($M$112="x",4)+IF($M$108="x",1)-IF($M$109="x",1)-IF($M$99="x",1)+IF($M$90="x",1)-10
&amp;"/"&amp;SUM($C$3,$I$3)+IF(H775="x",1)-6+$I$16-$B$10+$M$94+IF($C$77="x",2)-IF($C$78="x",4)-IF($I$78="x",1)-IF($I$77="x",2)-IF($I$90="x",2)+IF($I$83="x",2)-IF($C$76="x",4)-$C$112+IF(H771="x",1)+I771+$M$77+IF(H773="x",1)+IF(J773="x",1)+IF($M$76="x",2)+J771+IF($M$85="x",1)+IF($M$113="x",1)+IF($M$120="x",2)+IF($M$119="x",2)+IF($M$105="x",1)+IF($M$110="x",1)+IF($M$111="x",2)+IF($M$112="x",4)+IF($M$108="x",1)-IF($M$109="x",1)-IF($M$99="x",1)+IF($M$90="x",1)-15)</f>
        <v>-6</v>
      </c>
      <c r="C774" s="82"/>
      <c r="D774" s="121"/>
      <c r="E774" s="82"/>
      <c r="F774" s="82"/>
      <c r="G774" s="82"/>
      <c r="H774" s="14" t="s">
        <v>182</v>
      </c>
      <c r="I774" s="11" t="s">
        <v>246</v>
      </c>
      <c r="J774" s="11" t="s">
        <v>247</v>
      </c>
      <c r="AB774" s="42"/>
      <c r="AC774" s="41"/>
      <c r="AD774" s="66"/>
      <c r="AE774" s="41"/>
      <c r="AF774" s="66"/>
      <c r="AG774" s="40"/>
      <c r="AH774" s="40"/>
      <c r="AI774" s="40"/>
      <c r="AJ774" s="40"/>
      <c r="AK774" s="40"/>
      <c r="AL774" s="50"/>
    </row>
    <row r="775" spans="1:38" x14ac:dyDescent="0.2">
      <c r="A775" s="126">
        <f>A771*5</f>
        <v>600</v>
      </c>
      <c r="B775" s="121">
        <f>_xlfn.IFS($I$85="x","PAINISSA",
I775="x",SUM($C$3,$I$3)+IF(H775="x",1)+$I$16-$B$10+$M$94+IF($C$77="x",2)-IF($C$78="x",4)-IF($I$78="x",1)-IF($I$77="x",2)-IF($I$90="x",2)+IF($I$83="x",2)-IF($C$76="x",4)-$C$112+IF(H771="x",1)+I771+$M$77+IF(H773="x",1)+IF(J773="x",1)+IF($M$76="x",2)+J771+IF($M$85="x",1)+IF($M$113="x",1)+IF($M$120="x",2)+IF($M$119="x",2)+IF($M$105="x",1)+IF($M$110="x",1)+IF($M$111="x",2)+IF($M$112="x",4)+IF($M$108="x",1)-IF($M$109="x",1)-IF($M$99="x",1)+IF($M$90="x",1)-2-8,
J775="x",SUM($C$3,$I$3)+IF(H775="x",1)+$I$16-$B$10+$M$94+IF($C$77="x",2)-IF($C$78="x",4)-IF($I$78="x",1)-IF($I$77="x",2)-IF($I$90="x",2)+IF($I$83="x",2)-IF($C$76="x",4)-$C$112+IF(H771="x",1)+I771+$M$77+IF(H773="x",1)+IF(J773="x",1)+IF($M$76="x",2)+J771+IF($M$85="x",1)+IF($M$113="x",1)+IF($M$120="x",2)+IF($M$119="x",2)+IF($M$105="x",1)+IF($M$110="x",1)+IF($M$111="x",2)+IF($M$112="x",4)+IF($M$108="x",1)-IF($M$109="x",1)-IF($M$99="x",1)+IF($M$90="x",1)-IF($C$97="x",8,10)-8
&amp;"/"&amp;SUM($C$3,$I$3)+IF(H775="x",1)+$I$16-$B$10+$M$94+IF($C$77="x",2)-IF($C$78="x",4)-IF($I$78="x",1)-IF($I$77="x",2)-IF($I$90="x",2)+IF($I$83="x",2)-IF($C$76="x",4)-$C$112+IF(H771="x",1)+I771+$M$77+IF(H773="x",1)+IF(J773="x",1)+IF($M$76="x",2)+J771+IF($M$85="x",1)+IF($M$113="x",1)+IF($M$120="x",2)+IF($M$119="x",2)+IF($M$105="x",1)+IF($M$110="x",1)+IF($M$111="x",2)+IF($M$112="x",4)+IF($M$108="x",1)-IF($M$109="x",1)-IF($M$99="x",1)+IF($M$90="x",1)-IF($C$97="x",8,14)-8,
$I$3&lt;6,SUM($C$3,$I$3)+IF(H775="x",1)-8+$I$16-$B$10+$M$94+IF($C$77="x",2)-IF($C$78="x",4)-IF($I$78="x",1)-IF($I$77="x",2)-IF($I$90="x",2)+IF($I$83="x",2)-IF($C$76="x",4)-$C$112+IF(H771="x",1)+I771+$M$77+IF(H773="x",1)+IF(J773="x",1)+IF($M$76="x",2)+J771+IF($M$85="x",1)+IF($M$113="x",1)+IF($M$120="x",2)+IF($M$119="x",2)+IF($M$105="x",1)+IF($M$110="x",1)+IF($M$111="x",2)+IF($M$112="x",4)+IF($M$108="x",1)-IF($M$109="x",1)-IF($M$99="x",1)+IF($M$90="x",1),
$I$3&lt;11,SUM($C$3,$I$3)+IF(H775="x",1)-8+$I$16-$B$10+$M$94+IF($C$77="x",2)-IF($C$78="x",4)-IF($I$78="x",1)-IF($I$77="x",2)-IF($I$90="x",2)+IF($I$83="x",2)-IF($C$76="x",4)-$C$112+IF(H771="x",1)+I771+$M$77+IF(H773="x",1)+IF(J773="x",1)+IF($M$76="x",2)+J771+IF($M$85="x",1)+IF($M$113="x",1)+IF($M$120="x",2)+IF($M$119="x",2)+IF($M$105="x",1)+IF($M$110="x",1)+IF($M$111="x",2)+IF($M$112="x",4)+IF($M$108="x",1)-IF($M$109="x",1)-IF($M$99="x",1)+IF($M$90="x",1)
&amp;"/"&amp;SUM($C$3,$I$3)+IF(H775="x",1)-8+$I$16-$B$10+$M$94+IF($C$77="x",2)-IF($C$78="x",4)-IF($I$78="x",1)-IF($I$77="x",2)-IF($I$90="x",2)+IF($I$83="x",2)-IF($C$76="x",4)-$C$112+IF(H771="x",1)+I771+$M$77+IF(H773="x",1)+IF(J773="x",1)+IF($M$76="x",2)+J771+IF($M$85="x",1)+IF($M$113="x",1)+IF($M$120="x",2)+IF($M$119="x",2)+IF($M$105="x",1)+IF($M$110="x",1)+IF($M$111="x",2)+IF($M$112="x",4)+IF($M$108="x",1)-IF($M$109="x",1)-IF($M$99="x",1)+IF($M$90="x",1)-5,
$I$3&lt;16,SUM($C$3,$I$3)+IF(H775="x",1)-8+$I$16-$B$10+$M$94+IF($C$77="x",2)-IF($C$78="x",4)-IF($I$78="x",1)-IF($I$77="x",2)-IF($I$90="x",2)+IF($I$83="x",2)-IF($C$76="x",4)-$C$112+IF(H771="x",1)+I771+$M$77+IF(H773="x",1)+IF(J773="x",1)+IF($M$76="x",2)+J771+IF($M$85="x",1)+IF($M$113="x",1)+IF($M$120="x",2)+IF($M$119="x",2)+IF($M$105="x",1)+IF($M$110="x",1)+IF($M$111="x",2)+IF($M$112="x",4)+IF($M$108="x",1)-IF($M$109="x",1)-IF($M$99="x",1)+IF($M$90="x",1)
&amp;"/"&amp;SUM($C$3,$I$3)+IF(H775="x",1)-8+$I$16-$B$10+$M$94+IF($C$77="x",2)-IF($C$78="x",4)-IF($I$78="x",1)-IF($I$77="x",2)-IF($I$90="x",2)+IF($I$83="x",2)-IF($C$76="x",4)-$C$112+IF(H771="x",1)+I771+$M$77+IF(H773="x",1)+IF(J773="x",1)+IF($M$76="x",2)+J771+IF($M$85="x",1)+IF($M$113="x",1)+IF($M$120="x",2)+IF($M$119="x",2)+IF($M$105="x",1)+IF($M$110="x",1)+IF($M$111="x",2)+IF($M$112="x",4)+IF($M$108="x",1)-IF($M$109="x",1)-IF($M$99="x",1)+IF($M$90="x",1)-5
&amp;"/"&amp;SUM($C$3,$I$3)+IF(H775="x",1)-8+$I$16-$B$10+$M$94+IF($C$77="x",2)-IF($C$78="x",4)-IF($I$78="x",1)-IF($I$77="x",2)-IF($I$90="x",2)+IF($I$83="x",2)-IF($C$76="x",4)-$C$112+IF(H771="x",1)+I771+$M$77+IF(H773="x",1)+IF(J773="x",1)+IF($M$76="x",2)+J771+IF($M$85="x",1)+IF($M$113="x",1)+IF($M$120="x",2)+IF($M$119="x",2)+IF($M$105="x",1)+IF($M$110="x",1)+IF($M$111="x",2)+IF($M$112="x",4)+IF($M$108="x",1)-IF($M$109="x",1)-IF($M$99="x",1)+IF($M$90="x",1)-10,
$I$3&gt;=16,SUM($C$3,$I$3)+IF(H775="x",1)-8+$I$16-$B$10+$M$94+IF($C$77="x",2)-IF($C$78="x",4)-IF($I$78="x",1)-IF($I$77="x",2)-IF($I$90="x",2)+IF($I$83="x",2)-IF($C$76="x",4)-$C$112+IF(H771="x",1)+I771+$M$77+IF(H773="x",1)+IF(J773="x",1)+IF($M$76="x",2)+J771+IF($M$85="x",1)+IF($M$113="x",1)+IF($M$120="x",2)+IF($M$119="x",2)+IF($M$105="x",1)+IF($M$110="x",1)+IF($M$111="x",2)+IF($M$112="x",4)+IF($M$108="x",1)-IF($M$109="x",1)-IF($M$99="x",1)+IF($M$90="x",1)
&amp;"/"&amp;SUM($C$3,$I$3)+IF(H775="x",1)-8+$I$16-$B$10+$M$94+IF($C$77="x",2)-IF($C$78="x",4)-IF($I$78="x",1)-IF($I$77="x",2)-IF($I$90="x",2)+IF($I$83="x",2)-IF($C$76="x",4)-$C$112+IF(H771="x",1)+I771+$M$77+IF(H773="x",1)+IF(J773="x",1)+IF($M$76="x",2)+J771+IF($M$85="x",1)+IF($M$113="x",1)+IF($M$120="x",2)+IF($M$119="x",2)+IF($M$105="x",1)+IF($M$110="x",1)+IF($M$111="x",2)+IF($M$112="x",4)+IF($M$108="x",1)-IF($M$109="x",1)-IF($M$99="x",1)+IF($M$90="x",1)-5
&amp;"/"&amp;SUM($C$3,$I$3)+IF(H775="x",1)-8+$I$16-$B$10+$M$94+IF($C$77="x",2)-IF($C$78="x",4)-IF($I$78="x",1)-IF($I$77="x",2)-IF($I$90="x",2)+IF($I$83="x",2)-IF($C$76="x",4)-$C$112+IF(H771="x",1)+I771+$M$77+IF(H773="x",1)+IF(J773="x",1)+IF($M$76="x",2)+J771+IF($M$85="x",1)+IF($M$113="x",1)+IF($M$120="x",2)+IF($M$119="x",2)+IF($M$105="x",1)+IF($M$110="x",1)+IF($M$111="x",2)+IF($M$112="x",4)+IF($M$108="x",1)-IF($M$109="x",1)-IF($M$99="x",1)+IF($M$90="x",1)-10
&amp;"/"&amp;SUM($C$3,$I$3)+IF(H775="x",1)-8+$I$16-$B$10+$M$94+IF($C$77="x",2)-IF($C$78="x",4)-IF($I$78="x",1)-IF($I$77="x",2)-IF($I$90="x",2)+IF($I$83="x",2)-IF($C$76="x",4)-$C$112+IF(H771="x",1)+I771+$M$77+IF(H773="x",1)+IF(J773="x",1)+IF($M$76="x",2)+J771+IF($M$85="x",1)+IF($M$113="x",1)+IF($M$120="x",2)+IF($M$119="x",2)+IF($M$105="x",1)+IF($M$110="x",1)+IF($M$111="x",2)+IF($M$112="x",4)+IF($M$108="x",1)-IF($M$109="x",1)-IF($M$99="x",1)+IF($M$90="x",1)-15)</f>
        <v>-8</v>
      </c>
      <c r="C775" s="82"/>
      <c r="D775" s="121"/>
      <c r="E775" s="82"/>
      <c r="F775" s="82"/>
      <c r="G775" s="82"/>
      <c r="H775" s="28"/>
      <c r="I775" s="28"/>
      <c r="J775" s="28"/>
      <c r="K775" s="25"/>
      <c r="AB775" s="156"/>
      <c r="AC775" s="40"/>
      <c r="AD775" s="50"/>
      <c r="AE775" s="50"/>
      <c r="AF775" s="50"/>
      <c r="AG775" s="50"/>
      <c r="AH775" s="114"/>
      <c r="AI775" s="48"/>
      <c r="AJ775" s="48"/>
      <c r="AK775" s="48"/>
      <c r="AL775" s="48"/>
    </row>
    <row r="776" spans="1:38" x14ac:dyDescent="0.2">
      <c r="A776" s="127">
        <f>A771*6</f>
        <v>720</v>
      </c>
      <c r="B776" s="123">
        <f>_xlfn.IFS($I$85="x","PAINISSA",
I775="x",SUM($C$3,$I$3)+IF(H775="x",1)+$I$16-$B$10+$M$94+IF($C$77="x",2)-IF($C$78="x",4)-IF($I$78="x",1)-IF($I$77="x",2)-IF($I$90="x",2)+IF($I$83="x",2)-IF($C$76="x",4)-$C$112+IF(H771="x",1)+I771+$M$77+IF(H773="x",1)+IF(J773="x",1)+IF($M$76="x",2)+J771+IF($M$85="x",1)+IF($M$113="x",1)+IF($M$120="x",2)+IF($M$119="x",2)+IF($M$105="x",1)+IF($M$110="x",1)+IF($M$111="x",2)+IF($M$112="x",4)+IF($M$108="x",1)-IF($M$109="x",1)-IF($M$99="x",1)+IF($M$90="x",1)-2-10,
J775="x",SUM($C$3,$I$3)+IF(H775="x",1)+$I$16-$B$10+$M$94+IF($C$77="x",2)-IF($C$78="x",4)-IF($I$78="x",1)-IF($I$77="x",2)-IF($I$90="x",2)+IF($I$83="x",2)-IF($C$76="x",4)-$C$112+IF(H771="x",1)+I771+$M$77+IF(H773="x",1)+IF(J773="x",1)+IF($M$76="x",2)+J771+IF($M$85="x",1)+IF($M$113="x",1)+IF($M$120="x",2)+IF($M$119="x",2)+IF($M$105="x",1)+IF($M$110="x",1)+IF($M$111="x",2)+IF($M$112="x",4)+IF($M$108="x",1)-IF($M$109="x",1)-IF($M$99="x",1)+IF($M$90="x",1)-IF($C$97="x",8,10)-10
&amp;"/"&amp;SUM($C$3,$I$3)+IF(H775="x",1)+$I$16-$B$10+$M$94+IF($C$77="x",2)-IF($C$78="x",4)-IF($I$78="x",1)-IF($I$77="x",2)-IF($I$90="x",2)+IF($I$83="x",2)-IF($C$76="x",4)-$C$112+IF(H771="x",1)+I771+$M$77+IF(H773="x",1)+IF(J773="x",1)+IF($M$76="x",2)+J771+IF($M$85="x",1)+IF($M$113="x",1)+IF($M$120="x",2)+IF($M$119="x",2)+IF($M$105="x",1)+IF($M$110="x",1)+IF($M$111="x",2)+IF($M$112="x",4)+IF($M$108="x",1)-IF($M$109="x",1)-IF($M$99="x",1)+IF($M$90="x",1)-IF($C$97="x",8,14)-10,
$I$3&lt;6,SUM($C$3,$I$3)+IF(H775="x",1)-10+$I$16-$B$10+$M$94+IF($C$77="x",2)-IF($C$78="x",4)-IF($I$78="x",1)-IF($I$77="x",2)-IF($I$90="x",2)+IF($I$83="x",2)-IF($C$76="x",4)-$C$112+IF(H771="x",1)+I771+$M$77+IF(H773="x",1)+IF(J773="x",1)+IF($M$76="x",2)+J771+IF($M$85="x",1)+IF($M$113="x",1)+IF($M$120="x",2)+IF($M$119="x",2)+IF($M$105="x",1)+IF($M$110="x",1)+IF($M$111="x",2)+IF($M$112="x",4)+IF($M$108="x",1)-IF($M$109="x",1)-IF($M$99="x",1)+IF($M$90="x",1),
$I$3&lt;11,SUM($C$3,$I$3)+IF(H775="x",1)-10+$I$16-$B$10+$M$94+IF($C$77="x",2)-IF($C$78="x",4)-IF($I$78="x",1)-IF($I$77="x",2)-IF($I$90="x",2)+IF($I$83="x",2)-IF($C$76="x",4)-$C$112+IF(H771="x",1)+I771+$M$77+IF(H773="x",1)+IF(J773="x",1)+IF($M$76="x",2)+J771+IF($M$85="x",1)+IF($M$113="x",1)+IF($M$120="x",2)+IF($M$119="x",2)+IF($M$105="x",1)+IF($M$110="x",1)+IF($M$111="x",2)+IF($M$112="x",4)+IF($M$108="x",1)-IF($M$109="x",1)-IF($M$99="x",1)+IF($M$90="x",1)
&amp;"/"&amp;SUM($C$3,$I$3)+IF(H775="x",1)-10+$I$16-$B$10+$M$94+IF($C$77="x",2)-IF($C$78="x",4)-IF($I$78="x",1)-IF($I$77="x",2)-IF($I$90="x",2)+IF($I$83="x",2)-IF($C$76="x",4)-$C$112+IF(H771="x",1)+I771+$M$77+IF(H773="x",1)+IF(J773="x",1)+IF($M$76="x",2)+J771+IF($M$85="x",1)+IF($M$113="x",1)+IF($M$120="x",2)+IF($M$119="x",2)+IF($M$105="x",1)+IF($M$110="x",1)+IF($M$111="x",2)+IF($M$112="x",4)+IF($M$108="x",1)-IF($M$109="x",1)-IF($M$99="x",1)+IF($M$90="x",1)-5,
$I$3&lt;16,SUM($C$3,$I$3)+IF(H775="x",1)-10+$I$16-$B$10+$M$94+IF($C$77="x",2)-IF($C$78="x",4)-IF($I$78="x",1)-IF($I$77="x",2)-IF($I$90="x",2)+IF($I$83="x",2)-IF($C$76="x",4)-$C$112+IF(H771="x",1)+I771+$M$77+IF(H773="x",1)+IF(J773="x",1)+IF($M$76="x",2)+J771+IF($M$85="x",1)+IF($M$113="x",1)+IF($M$120="x",2)+IF($M$119="x",2)+IF($M$105="x",1)+IF($M$110="x",1)+IF($M$111="x",2)+IF($M$112="x",4)+IF($M$108="x",1)-IF($M$109="x",1)-IF($M$99="x",1)+IF($M$90="x",1)
&amp;"/"&amp;SUM($C$3,$I$3)+IF(H775="x",1)-10+$I$16-$B$10+$M$94+IF($C$77="x",2)-IF($C$78="x",4)-IF($I$78="x",1)-IF($I$77="x",2)-IF($I$90="x",2)+IF($I$83="x",2)-IF($C$76="x",4)-$C$112+IF(H771="x",1)+I771+$M$77+IF(H773="x",1)+IF(J773="x",1)+IF($M$76="x",2)+J771+IF($M$85="x",1)+IF($M$113="x",1)+IF($M$120="x",2)+IF($M$119="x",2)+IF($M$105="x",1)+IF($M$110="x",1)+IF($M$111="x",2)+IF($M$112="x",4)+IF($M$108="x",1)-IF($M$109="x",1)-IF($M$99="x",1)+IF($M$90="x",1)-5
&amp;"/"&amp;SUM($C$3,$I$3)+IF(H775="x",1)-10+$I$16-$B$10+$M$94+IF($C$77="x",2)-IF($C$78="x",4)-IF($I$78="x",1)-IF($I$77="x",2)-IF($I$90="x",2)+IF($I$83="x",2)-IF($C$76="x",4)-$C$112+IF(H771="x",1)+I771+$M$77+IF(H773="x",1)+IF(J773="x",1)+IF($M$76="x",2)+J771+IF($M$85="x",1)+IF($M$113="x",1)+IF($M$120="x",2)+IF($M$119="x",2)+IF($M$105="x",1)+IF($M$110="x",1)+IF($M$111="x",2)+IF($M$112="x",4)+IF($M$108="x",1)-IF($M$109="x",1)-IF($M$99="x",1)+IF($M$90="x",1)-10,
$I$3&gt;=16,SUM($C$3,$I$3)+IF(H775="x",1)-10+$I$16-$B$10+$M$94+IF($C$77="x",2)-IF($C$78="x",4)-IF($I$78="x",1)-IF($I$77="x",2)-IF($I$90="x",2)+IF($I$83="x",2)-IF($C$76="x",4)-$C$112+IF(H771="x",1)+I771+$M$77+IF(H773="x",1)+IF(J773="x",1)+IF($M$76="x",2)+J771+IF($M$85="x",1)+IF($M$113="x",1)+IF($M$120="x",2)+IF($M$119="x",2)+IF($M$105="x",1)+IF($M$110="x",1)+IF($M$111="x",2)+IF($M$112="x",4)+IF($M$108="x",1)-IF($M$109="x",1)-IF($M$99="x",1)+IF($M$90="x",1)
&amp;"/"&amp;SUM($C$3,$I$3)+IF(H775="x",1)-10+$I$16-$B$10+$M$94+IF($C$77="x",2)-IF($C$78="x",4)-IF($I$78="x",1)-IF($I$77="x",2)-IF($I$90="x",2)+IF($I$83="x",2)-IF($C$76="x",4)-$C$112+IF(H771="x",1)+I771+$M$77+IF(H773="x",1)+IF(J773="x",1)+IF($M$76="x",2)+J771+IF($M$85="x",1)+IF($M$113="x",1)+IF($M$120="x",2)+IF($M$119="x",2)+IF($M$105="x",1)+IF($M$110="x",1)+IF($M$111="x",2)+IF($M$112="x",4)+IF($M$108="x",1)-IF($M$109="x",1)-IF($M$99="x",1)+IF($M$90="x",1)-5
&amp;"/"&amp;SUM($C$3,$I$3)+IF(H775="x",1)-10+$I$16-$B$10+$M$94+IF($C$77="x",2)-IF($C$78="x",4)-IF($I$78="x",1)-IF($I$77="x",2)-IF($I$90="x",2)+IF($I$83="x",2)-IF($C$76="x",4)-$C$112+IF(H771="x",1)+I771+$M$77+IF(H773="x",1)+IF(J773="x",1)+IF($M$76="x",2)+J771+IF($M$85="x",1)+IF($M$113="x",1)+IF($M$120="x",2)+IF($M$119="x",2)+IF($M$105="x",1)+IF($M$110="x",1)+IF($M$111="x",2)+IF($M$112="x",4)+IF($M$108="x",1)-IF($M$109="x",1)-IF($M$99="x",1)+IF($M$90="x",1)-10
&amp;"/"&amp;SUM($C$3,$I$3)+IF(H775="x",1)-10+$I$16-$B$10+$M$94+IF($C$77="x",2)-IF($C$78="x",4)-IF($I$78="x",1)-IF($I$77="x",2)-IF($I$90="x",2)+IF($I$83="x",2)-IF($C$76="x",4)-$C$112+IF(H771="x",1)+I771+$M$77+IF(H773="x",1)+IF(J773="x",1)+IF($M$76="x",2)+J771+IF($M$85="x",1)+IF($M$113="x",1)+IF($M$120="x",2)+IF($M$119="x",2)+IF($M$105="x",1)+IF($M$110="x",1)+IF($M$111="x",2)+IF($M$112="x",4)+IF($M$108="x",1)-IF($M$109="x",1)-IF($M$99="x",1)+IF($M$90="x",1)-15)</f>
        <v>-10</v>
      </c>
      <c r="C776" s="82"/>
      <c r="D776" s="121"/>
      <c r="E776" s="82"/>
      <c r="F776" s="82"/>
      <c r="G776" s="82"/>
      <c r="H776" s="82"/>
      <c r="I776" s="25"/>
      <c r="J776" s="64"/>
      <c r="K776" s="64"/>
      <c r="AB776" s="156"/>
      <c r="AC776" s="40"/>
      <c r="AH776" s="49"/>
      <c r="AI776" s="40"/>
      <c r="AJ776" s="40"/>
      <c r="AK776" s="40"/>
      <c r="AL776" s="40"/>
    </row>
    <row r="777" spans="1:38" x14ac:dyDescent="0.2">
      <c r="A777" s="126">
        <f>A771*7</f>
        <v>840</v>
      </c>
      <c r="B777" s="121">
        <f>_xlfn.IFS($I$85="x","PAINISSA",
I775="x",SUM($C$3,$I$3)+IF(H775="x",1)+$I$16-$B$10+$M$94+IF($C$77="x",2)-IF($C$78="x",4)-IF($I$78="x",1)-IF($I$77="x",2)-IF($I$90="x",2)+IF($I$83="x",2)-IF($C$76="x",4)-$C$112+IF(H771="x",1)+I771+$M$77+IF(H773="x",1)+IF(J773="x",1)+IF($M$76="x",2)+J771+IF($M$85="x",1)+IF($M$113="x",1)+IF($M$120="x",2)+IF($M$119="x",2)+IF($M$105="x",1)+IF($M$110="x",1)+IF($M$111="x",2)+IF($M$112="x",4)+IF($M$108="x",1)-IF($M$109="x",1)-IF($M$99="x",1)+IF($M$90="x",1)-2-12,
J775="x",SUM($C$3,$I$3)+IF(H775="x",1)+$I$16-$B$10+$M$94+IF($C$77="x",2)-IF($C$78="x",4)-IF($I$78="x",1)-IF($I$77="x",2)-IF($I$90="x",2)+IF($I$83="x",2)-IF($C$76="x",4)-$C$112+IF(H771="x",1)+I771+$M$77+IF(H773="x",1)+IF(J773="x",1)+IF($M$76="x",2)+J771+IF($M$85="x",1)+IF($M$113="x",1)+IF($M$120="x",2)+IF($M$119="x",2)+IF($M$105="x",1)+IF($M$110="x",1)+IF($M$111="x",2)+IF($M$112="x",4)+IF($M$108="x",1)-IF($M$109="x",1)-IF($M$99="x",1)+IF($M$90="x",1)-IF($C$97="x",8,10)-12
&amp;"/"&amp;SUM($C$3,$I$3)+IF(H775="x",1)+$I$16-$B$10+$M$94+IF($C$77="x",2)-IF($C$78="x",4)-IF($I$78="x",1)-IF($I$77="x",2)-IF($I$90="x",2)+IF($I$83="x",2)-IF($C$76="x",4)-$C$112+IF(H771="x",1)+I771+$M$77+IF(H773="x",1)+IF(J773="x",1)+IF($M$76="x",2)+J771+IF($M$85="x",1)+IF($M$113="x",1)+IF($M$120="x",2)+IF($M$119="x",2)+IF($M$105="x",1)+IF($M$110="x",1)+IF($M$111="x",2)+IF($M$112="x",4)+IF($M$108="x",1)-IF($M$109="x",1)-IF($M$99="x",1)+IF($M$90="x",1)-IF($C$97="x",8,14)-12,
$I$3&lt;6,SUM($C$3,$I$3)+IF(H775="x",1)-12+$I$16-$B$10+$M$94+IF($C$77="x",2)-IF($C$78="x",4)-IF($I$78="x",1)-IF($I$77="x",2)-IF($I$90="x",2)+IF($I$83="x",2)-IF($C$76="x",4)-$C$112+IF(H771="x",1)+I771+$M$77+IF(H773="x",1)+IF(J773="x",1)+IF($M$76="x",2)+J771+IF($M$85="x",1)+IF($M$113="x",1)+IF($M$120="x",2)+IF($M$119="x",2)+IF($M$105="x",1)+IF($M$110="x",1)+IF($M$111="x",2)+IF($M$112="x",4)+IF($M$108="x",1)-IF($M$109="x",1)-IF($M$99="x",1)+IF($M$90="x",1),
$I$3&lt;11,SUM($C$3,$I$3)+IF(H775="x",1)-12+$I$16-$B$10+$M$94+IF($C$77="x",2)-IF($C$78="x",4)-IF($I$78="x",1)-IF($I$77="x",2)-IF($I$90="x",2)+IF($I$83="x",2)-IF($C$76="x",4)-$C$112+IF(H771="x",1)+I771+$M$77+IF(H773="x",1)+IF(J773="x",1)+IF($M$76="x",2)+J771+IF($M$85="x",1)+IF($M$113="x",1)+IF($M$120="x",2)+IF($M$119="x",2)+IF($M$105="x",1)+IF($M$110="x",1)+IF($M$111="x",2)+IF($M$112="x",4)+IF($M$108="x",1)-IF($M$109="x",1)-IF($M$99="x",1)+IF($M$90="x",1)
&amp;"/"&amp;SUM($C$3,$I$3)+IF(H775="x",1)-12+$I$16-$B$10+$M$94+IF($C$77="x",2)-IF($C$78="x",4)-IF($I$78="x",1)-IF($I$77="x",2)-IF($I$90="x",2)+IF($I$83="x",2)-IF($C$76="x",4)-$C$112+IF(H771="x",1)+I771+$M$77+IF(H773="x",1)+IF(J773="x",1)+IF($M$76="x",2)+J771+IF($M$85="x",1)+IF($M$113="x",1)+IF($M$120="x",2)+IF($M$119="x",2)+IF($M$105="x",1)+IF($M$110="x",1)+IF($M$111="x",2)+IF($M$112="x",4)+IF($M$108="x",1)-IF($M$109="x",1)-IF($M$99="x",1)+IF($M$90="x",1)-5,
$I$3&lt;16,SUM($C$3,$I$3)+IF(H775="x",1)-12+$I$16-$B$10+$M$94+IF($C$77="x",2)-IF($C$78="x",4)-IF($I$78="x",1)-IF($I$77="x",2)-IF($I$90="x",2)+IF($I$83="x",2)-IF($C$76="x",4)-$C$112+IF(H771="x",1)+I771+$M$77+IF(H773="x",1)+IF(J773="x",1)+IF($M$76="x",2)+J771+IF($M$85="x",1)+IF($M$113="x",1)+IF($M$120="x",2)+IF($M$119="x",2)+IF($M$105="x",1)+IF($M$110="x",1)+IF($M$111="x",2)+IF($M$112="x",4)+IF($M$108="x",1)-IF($M$109="x",1)-IF($M$99="x",1)+IF($M$90="x",1)
&amp;"/"&amp;SUM($C$3,$I$3)+IF(H775="x",1)-12+$I$16-$B$10+$M$94+IF($C$77="x",2)-IF($C$78="x",4)-IF($I$78="x",1)-IF($I$77="x",2)-IF($I$90="x",2)+IF($I$83="x",2)-IF($C$76="x",4)-$C$112+IF(H771="x",1)+I771+$M$77+IF(H773="x",1)+IF(J773="x",1)+IF($M$76="x",2)+J771+IF($M$85="x",1)+IF($M$113="x",1)+IF($M$120="x",2)+IF($M$119="x",2)+IF($M$105="x",1)+IF($M$110="x",1)+IF($M$111="x",2)+IF($M$112="x",4)+IF($M$108="x",1)-IF($M$109="x",1)-IF($M$99="x",1)+IF($M$90="x",1)-5
&amp;"/"&amp;SUM($C$3,$I$3)+IF(H775="x",1)-12+$I$16-$B$10+$M$94+IF($C$77="x",2)-IF($C$78="x",4)-IF($I$78="x",1)-IF($I$77="x",2)-IF($I$90="x",2)+IF($I$83="x",2)-IF($C$76="x",4)-$C$112+IF(H771="x",1)+I771+$M$77+IF(H773="x",1)+IF(J773="x",1)+IF($M$76="x",2)+J771+IF($M$85="x",1)+IF($M$113="x",1)+IF($M$120="x",2)+IF($M$119="x",2)+IF($M$105="x",1)+IF($M$110="x",1)+IF($M$111="x",2)+IF($M$112="x",4)+IF($M$108="x",1)-IF($M$109="x",1)-IF($M$99="x",1)+IF($M$90="x",1)-10,
$I$3&gt;=16,SUM($C$3,$I$3)+IF(H775="x",1)-12+$I$16-$B$10+$M$94+IF($C$77="x",2)-IF($C$78="x",4)-IF($I$78="x",1)-IF($I$77="x",2)-IF($I$90="x",2)+IF($I$83="x",2)-IF($C$76="x",4)-$C$112+IF(H771="x",1)+I771+$M$77+IF(H773="x",1)+IF(J773="x",1)+IF($M$76="x",2)+J771+IF($M$85="x",1)+IF($M$113="x",1)+IF($M$120="x",2)+IF($M$119="x",2)+IF($M$105="x",1)+IF($M$110="x",1)+IF($M$111="x",2)+IF($M$112="x",4)+IF($M$108="x",1)-IF($M$109="x",1)-IF($M$99="x",1)+IF($M$90="x",1)
&amp;"/"&amp;SUM($C$3,$I$3)+IF(H775="x",1)-12+$I$16-$B$10+$M$94+IF($C$77="x",2)-IF($C$78="x",4)-IF($I$78="x",1)-IF($I$77="x",2)-IF($I$90="x",2)+IF($I$83="x",2)-IF($C$76="x",4)-$C$112+IF(H771="x",1)+I771+$M$77+IF(H773="x",1)+IF(J773="x",1)+IF($M$76="x",2)+J771+IF($M$85="x",1)+IF($M$113="x",1)+IF($M$120="x",2)+IF($M$119="x",2)+IF($M$105="x",1)+IF($M$110="x",1)+IF($M$111="x",2)+IF($M$112="x",4)+IF($M$108="x",1)-IF($M$109="x",1)-IF($M$99="x",1)+IF($M$90="x",1)-5
&amp;"/"&amp;SUM($C$3,$I$3)+IF(H775="x",1)-12+$I$16-$B$10+$M$94+IF($C$77="x",2)-IF($C$78="x",4)-IF($I$78="x",1)-IF($I$77="x",2)-IF($I$90="x",2)+IF($I$83="x",2)-IF($C$76="x",4)-$C$112+IF(H771="x",1)+I771+$M$77+IF(H773="x",1)+IF(J773="x",1)+IF($M$76="x",2)+J771+IF($M$85="x",1)+IF($M$113="x",1)+IF($M$120="x",2)+IF($M$119="x",2)+IF($M$105="x",1)+IF($M$110="x",1)+IF($M$111="x",2)+IF($M$112="x",4)+IF($M$108="x",1)-IF($M$109="x",1)-IF($M$99="x",1)+IF($M$90="x",1)-10
&amp;"/"&amp;SUM($C$3,$I$3)+IF(H775="x",1)-12+$I$16-$B$10+$M$94+IF($C$77="x",2)-IF($C$78="x",4)-IF($I$78="x",1)-IF($I$77="x",2)-IF($I$90="x",2)+IF($I$83="x",2)-IF($C$76="x",4)-$C$112+IF(H771="x",1)+I771+$M$77+IF(H773="x",1)+IF(J773="x",1)+IF($M$76="x",2)+J771+IF($M$85="x",1)+IF($M$113="x",1)+IF($M$120="x",2)+IF($M$119="x",2)+IF($M$105="x",1)+IF($M$110="x",1)+IF($M$111="x",2)+IF($M$112="x",4)+IF($M$108="x",1)-IF($M$109="x",1)-IF($M$99="x",1)+IF($M$90="x",1)-15)</f>
        <v>-12</v>
      </c>
      <c r="C777" s="82"/>
      <c r="D777" s="121"/>
      <c r="E777" s="82"/>
      <c r="F777" s="82"/>
      <c r="G777" s="82"/>
      <c r="H777" s="82"/>
      <c r="J777" s="64"/>
      <c r="K777" s="64"/>
      <c r="AC777" s="40"/>
      <c r="AD777" s="40"/>
      <c r="AE777" s="40"/>
      <c r="AG777" s="40"/>
      <c r="AH777" s="40"/>
      <c r="AI777" s="40"/>
      <c r="AJ777" s="40"/>
    </row>
    <row r="778" spans="1:38" x14ac:dyDescent="0.2">
      <c r="A778" s="127">
        <f>A771*8</f>
        <v>960</v>
      </c>
      <c r="B778" s="123">
        <f>_xlfn.IFS($I$85="x","PAINISSA",
I775="x",SUM($C$3,$I$3)+IF(H775="x",1)+$I$16-$B$10+$M$94+IF($C$77="x",2)-IF($C$78="x",4)-IF($I$78="x",1)-IF($I$77="x",2)-IF($I$90="x",2)+IF($I$83="x",2)-IF($C$76="x",4)-$C$112+IF(H771="x",1)+I771+$M$77+IF(H773="x",1)+IF(J773="x",1)+IF($M$76="x",2)+J771+IF($M$85="x",1)+IF($M$113="x",1)+IF($M$120="x",2)+IF($M$119="x",2)+IF($M$105="x",1)+IF($M$110="x",1)+IF($M$111="x",2)+IF($M$112="x",4)+IF($M$108="x",1)-IF($M$109="x",1)-IF($M$99="x",1)+IF($M$90="x",1)-2-14,
J775="x",SUM($C$3,$I$3)+IF(H775="x",1)+$I$16-$B$10+$M$94+IF($C$77="x",2)-IF($C$78="x",4)-IF($I$78="x",1)-IF($I$77="x",2)-IF($I$90="x",2)+IF($I$83="x",2)-IF($C$76="x",4)-$C$112+IF(H771="x",1)+I771+$M$77+IF(H773="x",1)+IF(J773="x",1)+IF($M$76="x",2)+J771+IF($M$85="x",1)+IF($M$113="x",1)+IF($M$120="x",2)+IF($M$119="x",2)+IF($M$105="x",1)+IF($M$110="x",1)+IF($M$111="x",2)+IF($M$112="x",4)+IF($M$108="x",1)-IF($M$109="x",1)-IF($M$99="x",1)+IF($M$90="x",1)-IF($C$97="x",8,10)-14
&amp;"/"&amp;SUM($C$3,$I$3)+IF(H775="x",1)+$I$16-$B$10+$M$94+IF($C$77="x",2)-IF($C$78="x",4)-IF($I$78="x",1)-IF($I$77="x",2)-IF($I$90="x",2)+IF($I$83="x",2)-IF($C$76="x",4)-$C$112+IF(H771="x",1)+I771+$M$77+IF(H773="x",1)+IF(J773="x",1)+IF($M$76="x",2)+J771+IF($M$85="x",1)+IF($M$113="x",1)+IF($M$120="x",2)+IF($M$119="x",2)+IF($M$105="x",1)+IF($M$110="x",1)+IF($M$111="x",2)+IF($M$112="x",4)+IF($M$108="x",1)-IF($M$109="x",1)-IF($M$99="x",1)+IF($M$90="x",1)-IF($C$97="x",8,14)-14,
$I$3&lt;6,SUM($C$3,$I$3)+IF(H775="x",1)-14+$I$16-$B$10+$M$94+IF($C$77="x",2)-IF($C$78="x",4)-IF($I$78="x",1)-IF($I$77="x",2)-IF($I$90="x",2)+IF($I$83="x",2)-IF($C$76="x",4)-$C$112+IF(H771="x",1)+I771+$M$77+IF(H773="x",1)+IF(J773="x",1)+IF($M$76="x",2)+J771+IF($M$85="x",1)+IF($M$113="x",1)+IF($M$120="x",2)+IF($M$119="x",2)+IF($M$105="x",1)+IF($M$110="x",1)+IF($M$111="x",2)+IF($M$112="x",4)+IF($M$108="x",1)-IF($M$109="x",1)-IF($M$99="x",1)+IF($M$90="x",1),
$I$3&lt;11,SUM($C$3,$I$3)+IF(H775="x",1)-14+$I$16-$B$10+$M$94+IF($C$77="x",2)-IF($C$78="x",4)-IF($I$78="x",1)-IF($I$77="x",2)-IF($I$90="x",2)+IF($I$83="x",2)-IF($C$76="x",4)-$C$112+IF(H771="x",1)+I771+$M$77+IF(H773="x",1)+IF(J773="x",1)+IF($M$76="x",2)+J771+IF($M$85="x",1)+IF($M$113="x",1)+IF($M$120="x",2)+IF($M$119="x",2)+IF($M$105="x",1)+IF($M$110="x",1)+IF($M$111="x",2)+IF($M$112="x",4)+IF($M$108="x",1)-IF($M$109="x",1)-IF($M$99="x",1)+IF($M$90="x",1)
&amp;"/"&amp;SUM($C$3,$I$3)+IF(H775="x",1)-14+$I$16-$B$10+$M$94+IF($C$77="x",2)-IF($C$78="x",4)-IF($I$78="x",1)-IF($I$77="x",2)-IF($I$90="x",2)+IF($I$83="x",2)-IF($C$76="x",4)-$C$112+IF(H771="x",1)+I771+$M$77+IF(H773="x",1)+IF(J773="x",1)+IF($M$76="x",2)+J771+IF($M$85="x",1)+IF($M$113="x",1)+IF($M$120="x",2)+IF($M$119="x",2)+IF($M$105="x",1)+IF($M$110="x",1)+IF($M$111="x",2)+IF($M$112="x",4)+IF($M$108="x",1)-IF($M$109="x",1)-IF($M$99="x",1)+IF($M$90="x",1)-5,
$I$3&lt;16,SUM($C$3,$I$3)+IF(H775="x",1)-14+$I$16-$B$10+$M$94+IF($C$77="x",2)-IF($C$78="x",4)-IF($I$78="x",1)-IF($I$77="x",2)-IF($I$90="x",2)+IF($I$83="x",2)-IF($C$76="x",4)-$C$112+IF(H771="x",1)+I771+$M$77+IF(H773="x",1)+IF(J773="x",1)+IF($M$76="x",2)+J771+IF($M$85="x",1)+IF($M$113="x",1)+IF($M$120="x",2)+IF($M$119="x",2)+IF($M$105="x",1)+IF($M$110="x",1)+IF($M$111="x",2)+IF($M$112="x",4)+IF($M$108="x",1)-IF($M$109="x",1)-IF($M$99="x",1)+IF($M$90="x",1)
&amp;"/"&amp;SUM($C$3,$I$3)+IF(H775="x",1)-14+$I$16-$B$10+$M$94+IF($C$77="x",2)-IF($C$78="x",4)-IF($I$78="x",1)-IF($I$77="x",2)-IF($I$90="x",2)+IF($I$83="x",2)-IF($C$76="x",4)-$C$112+IF(H771="x",1)+I771+$M$77+IF(H773="x",1)+IF(J773="x",1)+IF($M$76="x",2)+J771+IF($M$85="x",1)+IF($M$113="x",1)+IF($M$120="x",2)+IF($M$119="x",2)+IF($M$105="x",1)+IF($M$110="x",1)+IF($M$111="x",2)+IF($M$112="x",4)+IF($M$108="x",1)-IF($M$109="x",1)-IF($M$99="x",1)+IF($M$90="x",1)-5
&amp;"/"&amp;SUM($C$3,$I$3)+IF(H775="x",1)-14+$I$16-$B$10+$M$94+IF($C$77="x",2)-IF($C$78="x",4)-IF($I$78="x",1)-IF($I$77="x",2)-IF($I$90="x",2)+IF($I$83="x",2)-IF($C$76="x",4)-$C$112+IF(H771="x",1)+I771+$M$77+IF(H773="x",1)+IF(J773="x",1)+IF($M$76="x",2)+J771+IF($M$85="x",1)+IF($M$113="x",1)+IF($M$120="x",2)+IF($M$119="x",2)+IF($M$105="x",1)+IF($M$110="x",1)+IF($M$111="x",2)+IF($M$112="x",4)+IF($M$108="x",1)-IF($M$109="x",1)-IF($M$99="x",1)+IF($M$90="x",1)-10,
$I$3&gt;=16,SUM($C$3,$I$3)+IF(H775="x",1)-14+$I$16-$B$10+$M$94+IF($C$77="x",2)-IF($C$78="x",4)-IF($I$78="x",1)-IF($I$77="x",2)-IF($I$90="x",2)+IF($I$83="x",2)-IF($C$76="x",4)-$C$112+IF(H771="x",1)+I771+$M$77+IF(H773="x",1)+IF(J773="x",1)+IF($M$76="x",2)+J771+IF($M$85="x",1)+IF($M$113="x",1)+IF($M$120="x",2)+IF($M$119="x",2)+IF($M$105="x",1)+IF($M$110="x",1)+IF($M$111="x",2)+IF($M$112="x",4)+IF($M$108="x",1)-IF($M$109="x",1)-IF($M$99="x",1)+IF($M$90="x",1)
&amp;"/"&amp;SUM($C$3,$I$3)+IF(H775="x",1)-14+$I$16-$B$10+$M$94+IF($C$77="x",2)-IF($C$78="x",4)-IF($I$78="x",1)-IF($I$77="x",2)-IF($I$90="x",2)+IF($I$83="x",2)-IF($C$76="x",4)-$C$112+IF(H771="x",1)+I771+$M$77+IF(H773="x",1)+IF(J773="x",1)+IF($M$76="x",2)+J771+IF($M$85="x",1)+IF($M$113="x",1)+IF($M$120="x",2)+IF($M$119="x",2)+IF($M$105="x",1)+IF($M$110="x",1)+IF($M$111="x",2)+IF($M$112="x",4)+IF($M$108="x",1)-IF($M$109="x",1)-IF($M$99="x",1)+IF($M$90="x",1)-5
&amp;"/"&amp;SUM($C$3,$I$3)+IF(H775="x",1)-14+$I$16-$B$10+$M$94+IF($C$77="x",2)-IF($C$78="x",4)-IF($I$78="x",1)-IF($I$77="x",2)-IF($I$90="x",2)+IF($I$83="x",2)-IF($C$76="x",4)-$C$112+IF(H771="x",1)+I771+$M$77+IF(H773="x",1)+IF(J773="x",1)+IF($M$76="x",2)+J771+IF($M$85="x",1)+IF($M$113="x",1)+IF($M$120="x",2)+IF($M$119="x",2)+IF($M$105="x",1)+IF($M$110="x",1)+IF($M$111="x",2)+IF($M$112="x",4)+IF($M$108="x",1)-IF($M$109="x",1)-IF($M$99="x",1)+IF($M$90="x",1)-10
&amp;"/"&amp;SUM($C$3,$I$3)+IF(H775="x",1)-14+$I$16-$B$10+$M$94+IF($C$77="x",2)-IF($C$78="x",4)-IF($I$78="x",1)-IF($I$77="x",2)-IF($I$90="x",2)+IF($I$83="x",2)-IF($C$76="x",4)-$C$112+IF(H771="x",1)+I771+$M$77+IF(H773="x",1)+IF(J773="x",1)+IF($M$76="x",2)+J771+IF($M$85="x",1)+IF($M$113="x",1)+IF($M$120="x",2)+IF($M$119="x",2)+IF($M$105="x",1)+IF($M$110="x",1)+IF($M$111="x",2)+IF($M$112="x",4)+IF($M$108="x",1)-IF($M$109="x",1)-IF($M$99="x",1)+IF($M$90="x",1)-15)</f>
        <v>-14</v>
      </c>
      <c r="C778" s="82"/>
      <c r="D778" s="121"/>
      <c r="E778" s="82"/>
      <c r="F778" s="82"/>
      <c r="G778" s="82"/>
      <c r="H778" s="82"/>
      <c r="I778" s="82"/>
      <c r="J778" s="64"/>
      <c r="K778" s="64"/>
      <c r="AC778" s="40"/>
      <c r="AD778" s="40"/>
      <c r="AE778" s="40"/>
      <c r="AG778" s="40"/>
      <c r="AH778" s="40"/>
      <c r="AI778" s="40"/>
      <c r="AJ778" s="40"/>
    </row>
    <row r="779" spans="1:38" x14ac:dyDescent="0.2">
      <c r="A779" s="126">
        <f>A771*9</f>
        <v>1080</v>
      </c>
      <c r="B779" s="121">
        <f>_xlfn.IFS($I$85="x","PAINISSA",
I775="x",SUM($C$3,$I$3)+IF(H775="x",1)+$I$16-$B$10+$M$94+IF($C$77="x",2)-IF($C$78="x",4)-IF($I$78="x",1)-IF($I$77="x",2)-IF($I$90="x",2)+IF($I$83="x",2)-IF($C$76="x",4)-$C$112+IF(H771="x",1)+I771+$M$77+IF(H773="x",1)+IF(J773="x",1)+IF($M$76="x",2)+J771+IF($M$85="x",1)+IF($M$113="x",1)+IF($M$120="x",2)+IF($M$119="x",2)+IF($M$105="x",1)+IF($M$110="x",1)+IF($M$111="x",2)+IF($M$112="x",4)+IF($M$108="x",1)-IF($M$109="x",1)-IF($M$99="x",1)+IF($M$90="x",1)-2-16,
J775="x",SUM($C$3,$I$3)+IF(H775="x",1)+$I$16-$B$10+$M$94+IF($C$77="x",2)-IF($C$78="x",4)-IF($I$78="x",1)-IF($I$77="x",2)-IF($I$90="x",2)+IF($I$83="x",2)-IF($C$76="x",4)-$C$112+IF(H771="x",1)+I771+$M$77+IF(H773="x",1)+IF(J773="x",1)+IF($M$76="x",2)+J771+IF($M$85="x",1)+IF($M$113="x",1)+IF($M$120="x",2)+IF($M$119="x",2)+IF($M$105="x",1)+IF($M$110="x",1)+IF($M$111="x",2)+IF($M$112="x",4)+IF($M$108="x",1)-IF($M$109="x",1)-IF($M$99="x",1)+IF($M$90="x",1)-IF($C$97="x",8,10)-16
&amp;"/"&amp;SUM($C$3,$I$3)+IF(H775="x",1)+$I$16-$B$10+$M$94+IF($C$77="x",2)-IF($C$78="x",4)-IF($I$78="x",1)-IF($I$77="x",2)-IF($I$90="x",2)+IF($I$83="x",2)-IF($C$76="x",4)-$C$112+IF(H771="x",1)+I771+$M$77+IF(H773="x",1)+IF(J773="x",1)+IF($M$76="x",2)+J771+IF($M$85="x",1)+IF($M$113="x",1)+IF($M$120="x",2)+IF($M$119="x",2)+IF($M$105="x",1)+IF($M$110="x",1)+IF($M$111="x",2)+IF($M$112="x",4)+IF($M$108="x",1)-IF($M$109="x",1)-IF($M$99="x",1)+IF($M$90="x",1)-IF($C$97="x",8,14)-16,
$I$3&lt;6,SUM($C$3,$I$3)+IF(H775="x",1)-16+$I$16-$B$10+$M$94+IF($C$77="x",2)-IF($C$78="x",4)-IF($I$78="x",1)-IF($I$77="x",2)-IF($I$90="x",2)+IF($I$83="x",2)-IF($C$76="x",4)-$C$112+IF(H771="x",1)+I771+$M$77+IF(H773="x",1)+IF(J773="x",1)+IF($M$76="x",2)+J771+IF($M$85="x",1)+IF($M$113="x",1)+IF($M$120="x",2)+IF($M$119="x",2)+IF($M$105="x",1)+IF($M$110="x",1)+IF($M$111="x",2)+IF($M$112="x",4)+IF($M$108="x",1)-IF($M$109="x",1)-IF($M$99="x",1)+IF($M$90="x",1),
$I$3&lt;11,SUM($C$3,$I$3)+IF(H775="x",1)-16+$I$16-$B$10+$M$94+IF($C$77="x",2)-IF($C$78="x",4)-IF($I$78="x",1)-IF($I$77="x",2)-IF($I$90="x",2)+IF($I$83="x",2)-IF($C$76="x",4)-$C$112+IF(H771="x",1)+I771+$M$77+IF(H773="x",1)+IF(J773="x",1)+IF($M$76="x",2)+J771+IF($M$85="x",1)+IF($M$113="x",1)+IF($M$120="x",2)+IF($M$119="x",2)+IF($M$105="x",1)+IF($M$110="x",1)+IF($M$111="x",2)+IF($M$112="x",4)+IF($M$108="x",1)-IF($M$109="x",1)-IF($M$99="x",1)+IF($M$90="x",1)
&amp;"/"&amp;SUM($C$3,$I$3)+IF(H775="x",1)-16+$I$16-$B$10+$M$94+IF($C$77="x",2)-IF($C$78="x",4)-IF($I$78="x",1)-IF($I$77="x",2)-IF($I$90="x",2)+IF($I$83="x",2)-IF($C$76="x",4)-$C$112+IF(H771="x",1)+I771+$M$77+IF(H773="x",1)+IF(J773="x",1)+IF($M$76="x",2)+J771+IF($M$85="x",1)+IF($M$113="x",1)+IF($M$120="x",2)+IF($M$119="x",2)+IF($M$105="x",1)+IF($M$110="x",1)+IF($M$111="x",2)+IF($M$112="x",4)+IF($M$108="x",1)-IF($M$109="x",1)-IF($M$99="x",1)+IF($M$90="x",1)-5,
$I$3&lt;16,SUM($C$3,$I$3)+IF(H775="x",1)-16+$I$16-$B$10+$M$94+IF($C$77="x",2)-IF($C$78="x",4)-IF($I$78="x",1)-IF($I$77="x",2)-IF($I$90="x",2)+IF($I$83="x",2)-IF($C$76="x",4)-$C$112+IF(H771="x",1)+I771+$M$77+IF(H773="x",1)+IF(J773="x",1)+IF($M$76="x",2)+J771+IF($M$85="x",1)+IF($M$113="x",1)+IF($M$120="x",2)+IF($M$119="x",2)+IF($M$105="x",1)+IF($M$110="x",1)+IF($M$111="x",2)+IF($M$112="x",4)+IF($M$108="x",1)-IF($M$109="x",1)-IF($M$99="x",1)+IF($M$90="x",1)
&amp;"/"&amp;SUM($C$3,$I$3)+IF(H775="x",1)-16+$I$16-$B$10+$M$94+IF($C$77="x",2)-IF($C$78="x",4)-IF($I$78="x",1)-IF($I$77="x",2)-IF($I$90="x",2)+IF($I$83="x",2)-IF($C$76="x",4)-$C$112+IF(H771="x",1)+I771+$M$77+IF(H773="x",1)+IF(J773="x",1)+IF($M$76="x",2)+J771+IF($M$85="x",1)+IF($M$113="x",1)+IF($M$120="x",2)+IF($M$119="x",2)+IF($M$105="x",1)+IF($M$110="x",1)+IF($M$111="x",2)+IF($M$112="x",4)+IF($M$108="x",1)-IF($M$109="x",1)-IF($M$99="x",1)+IF($M$90="x",1)-5
&amp;"/"&amp;SUM($C$3,$I$3)+IF(H775="x",1)-16+$I$16-$B$10+$M$94+IF($C$77="x",2)-IF($C$78="x",4)-IF($I$78="x",1)-IF($I$77="x",2)-IF($I$90="x",2)+IF($I$83="x",2)-IF($C$76="x",4)-$C$112+IF(H771="x",1)+I771+$M$77+IF(H773="x",1)+IF(J773="x",1)+IF($M$76="x",2)+J771+IF($M$85="x",1)+IF($M$113="x",1)+IF($M$120="x",2)+IF($M$119="x",2)+IF($M$105="x",1)+IF($M$110="x",1)+IF($M$111="x",2)+IF($M$112="x",4)+IF($M$108="x",1)-IF($M$109="x",1)-IF($M$99="x",1)+IF($M$90="x",1)-10,
$I$3&gt;=16,SUM($C$3,$I$3)+IF(H775="x",1)-16+$I$16-$B$10+$M$94+IF($C$77="x",2)-IF($C$78="x",4)-IF($I$78="x",1)-IF($I$77="x",2)-IF($I$90="x",2)+IF($I$83="x",2)-IF($C$76="x",4)-$C$112+IF(H771="x",1)+I771+$M$77+IF(H773="x",1)+IF(J773="x",1)+IF($M$76="x",2)+J771+IF($M$85="x",1)+IF($M$113="x",1)+IF($M$120="x",2)+IF($M$119="x",2)+IF($M$105="x",1)+IF($M$110="x",1)+IF($M$111="x",2)+IF($M$112="x",4)+IF($M$108="x",1)-IF($M$109="x",1)-IF($M$99="x",1)+IF($M$90="x",1)
&amp;"/"&amp;SUM($C$3,$I$3)+IF(H775="x",1)-16+$I$16-$B$10+$M$94+IF($C$77="x",2)-IF($C$78="x",4)-IF($I$78="x",1)-IF($I$77="x",2)-IF($I$90="x",2)+IF($I$83="x",2)-IF($C$76="x",4)-$C$112+IF(H771="x",1)+I771+$M$77+IF(H773="x",1)+IF(J773="x",1)+IF($M$76="x",2)+J771+IF($M$85="x",1)+IF($M$113="x",1)+IF($M$120="x",2)+IF($M$119="x",2)+IF($M$105="x",1)+IF($M$110="x",1)+IF($M$111="x",2)+IF($M$112="x",4)+IF($M$108="x",1)-IF($M$109="x",1)-IF($M$99="x",1)+IF($M$90="x",1)-5
&amp;"/"&amp;SUM($C$3,$I$3)+IF(H775="x",1)-16+$I$16-$B$10+$M$94+IF($C$77="x",2)-IF($C$78="x",4)-IF($I$78="x",1)-IF($I$77="x",2)-IF($I$90="x",2)+IF($I$83="x",2)-IF($C$76="x",4)-$C$112+IF(H771="x",1)+I771+$M$77+IF(H773="x",1)+IF(J773="x",1)+IF($M$76="x",2)+J771+IF($M$85="x",1)+IF($M$113="x",1)+IF($M$120="x",2)+IF($M$119="x",2)+IF($M$105="x",1)+IF($M$110="x",1)+IF($M$111="x",2)+IF($M$112="x",4)+IF($M$108="x",1)-IF($M$109="x",1)-IF($M$99="x",1)+IF($M$90="x",1)-10
&amp;"/"&amp;SUM($C$3,$I$3)+IF(H775="x",1)-16+$I$16-$B$10+$M$94+IF($C$77="x",2)-IF($C$78="x",4)-IF($I$78="x",1)-IF($I$77="x",2)-IF($I$90="x",2)+IF($I$83="x",2)-IF($C$76="x",4)-$C$112+IF(H771="x",1)+I771+$M$77+IF(H773="x",1)+IF(J773="x",1)+IF($M$76="x",2)+J771+IF($M$85="x",1)+IF($M$113="x",1)+IF($M$120="x",2)+IF($M$119="x",2)+IF($M$105="x",1)+IF($M$110="x",1)+IF($M$111="x",2)+IF($M$112="x",4)+IF($M$108="x",1)-IF($M$109="x",1)-IF($M$99="x",1)+IF($M$90="x",1)-15)</f>
        <v>-16</v>
      </c>
      <c r="C779" s="82"/>
      <c r="D779" s="121"/>
      <c r="E779" s="82"/>
      <c r="F779" s="82"/>
      <c r="G779" s="82"/>
      <c r="H779" s="82"/>
      <c r="I779" s="155"/>
      <c r="AB779" s="46"/>
      <c r="AC779" s="48"/>
      <c r="AD779" s="48"/>
      <c r="AE779" s="48"/>
      <c r="AF779" s="48"/>
      <c r="AG779" s="48"/>
      <c r="AH779" s="48"/>
      <c r="AI779" s="48"/>
      <c r="AJ779" s="48"/>
      <c r="AK779" s="48"/>
      <c r="AL779" s="48"/>
    </row>
    <row r="780" spans="1:38" x14ac:dyDescent="0.2">
      <c r="A780" s="127">
        <f>A771*10</f>
        <v>1200</v>
      </c>
      <c r="B780" s="123">
        <f>_xlfn.IFS($I$85="x","PAINISSA",
I775="x",SUM($C$3,$I$3)+IF(H775="x",1)+$I$16-$B$10+$M$94+IF($C$77="x",2)-IF($C$78="x",4)-IF($I$78="x",1)-IF($I$77="x",2)-IF($I$90="x",2)+IF($I$83="x",2)-IF($C$76="x",4)-$C$112+IF(H771="x",1)+I771+$M$77+IF(H773="x",1)+IF(J773="x",1)+IF($M$76="x",2)+J771+IF($M$85="x",1)+IF($M$113="x",1)+IF($M$120="x",2)+IF($M$119="x",2)+IF($M$105="x",1)+IF($M$110="x",1)+IF($M$111="x",2)+IF($M$112="x",4)+IF($M$108="x",1)-IF($M$109="x",1)-IF($M$99="x",1)+IF($M$90="x",1)-2-18,
J775="x",SUM($C$3,$I$3)+IF(H775="x",1)+$I$16-$B$10+$M$94+IF($C$77="x",2)-IF($C$78="x",4)-IF($I$78="x",1)-IF($I$77="x",2)-IF($I$90="x",2)+IF($I$83="x",2)-IF($C$76="x",4)-$C$112+IF(H771="x",1)+I771+$M$77+IF(H773="x",1)+IF(J773="x",1)+IF($M$76="x",2)+J771+IF($M$85="x",1)+IF($M$113="x",1)+IF($M$120="x",2)+IF($M$119="x",2)+IF($M$105="x",1)+IF($M$110="x",1)+IF($M$111="x",2)+IF($M$112="x",4)+IF($M$108="x",1)-IF($M$109="x",1)-IF($M$99="x",1)+IF($M$90="x",1)-IF($C$97="x",8,10)-18
&amp;"/"&amp;SUM($C$3,$I$3)+IF(H775="x",1)+$I$16-$B$10+$M$94+IF($C$77="x",2)-IF($C$78="x",4)-IF($I$78="x",1)-IF($I$77="x",2)-IF($I$90="x",2)+IF($I$83="x",2)-IF($C$76="x",4)-$C$112+IF(H771="x",1)+I771+$M$77+IF(H773="x",1)+IF(J773="x",1)+IF($M$76="x",2)+J771+IF($M$85="x",1)+IF($M$113="x",1)+IF($M$120="x",2)+IF($M$119="x",2)+IF($M$105="x",1)+IF($M$110="x",1)+IF($M$111="x",2)+IF($M$112="x",4)+IF($M$108="x",1)-IF($M$109="x",1)-IF($M$99="x",1)+IF($M$90="x",1)-IF($C$97="x",8,14)-18,
$I$3&lt;6,SUM($C$3,$I$3)+IF(H775="x",1)-18+$I$16-$B$10+$M$94+IF($C$77="x",2)-IF($C$78="x",4)-IF($I$78="x",1)-IF($I$77="x",2)-IF($I$90="x",2)+IF($I$83="x",2)-IF($C$76="x",4)-$C$112+IF(H771="x",1)+I771+$M$77+IF(H773="x",1)+IF(J773="x",1)+IF($M$76="x",2)+J771+IF($M$85="x",1)+IF($M$113="x",1)+IF($M$120="x",2)+IF($M$119="x",2)+IF($M$105="x",1)+IF($M$110="x",1)+IF($M$111="x",2)+IF($M$112="x",4)+IF($M$108="x",1)-IF($M$109="x",1)-IF($M$99="x",1)+IF($M$90="x",1),
$I$3&lt;11,SUM($C$3,$I$3)+IF(H775="x",1)-18+$I$16-$B$10+$M$94+IF($C$77="x",2)-IF($C$78="x",4)-IF($I$78="x",1)-IF($I$77="x",2)-IF($I$90="x",2)+IF($I$83="x",2)-IF($C$76="x",4)-$C$112+IF(H771="x",1)+I771+$M$77+IF(H773="x",1)+IF(J773="x",1)+IF($M$76="x",2)+J771+IF($M$85="x",1)+IF($M$113="x",1)+IF($M$120="x",2)+IF($M$119="x",2)+IF($M$105="x",1)+IF($M$110="x",1)+IF($M$111="x",2)+IF($M$112="x",4)+IF($M$108="x",1)-IF($M$109="x",1)-IF($M$99="x",1)+IF($M$90="x",1)
&amp;"/"&amp;SUM($C$3,$I$3)+IF(H775="x",1)-18+$I$16-$B$10+$M$94+IF($C$77="x",2)-IF($C$78="x",4)-IF($I$78="x",1)-IF($I$77="x",2)-IF($I$90="x",2)+IF($I$83="x",2)-IF($C$76="x",4)-$C$112+IF(H771="x",1)+I771+$M$77+IF(H773="x",1)+IF(J773="x",1)+IF($M$76="x",2)+J771+IF($M$85="x",1)+IF($M$113="x",1)+IF($M$120="x",2)+IF($M$119="x",2)+IF($M$105="x",1)+IF($M$110="x",1)+IF($M$111="x",2)+IF($M$112="x",4)+IF($M$108="x",1)-IF($M$109="x",1)-IF($M$99="x",1)+IF($M$90="x",1)-5,
$I$3&lt;16,SUM($C$3,$I$3)+IF(H775="x",1)-18+$I$16-$B$10+$M$94+IF($C$77="x",2)-IF($C$78="x",4)-IF($I$78="x",1)-IF($I$77="x",2)-IF($I$90="x",2)+IF($I$83="x",2)-IF($C$76="x",4)-$C$112+IF(H771="x",1)+I771+$M$77+IF(H773="x",1)+IF(J773="x",1)+IF($M$76="x",2)+J771+IF($M$85="x",1)+IF($M$113="x",1)+IF($M$120="x",2)+IF($M$119="x",2)+IF($M$105="x",1)+IF($M$110="x",1)+IF($M$111="x",2)+IF($M$112="x",4)+IF($M$108="x",1)-IF($M$109="x",1)-IF($M$99="x",1)+IF($M$90="x",1)
&amp;"/"&amp;SUM($C$3,$I$3)+IF(H775="x",1)-18+$I$16-$B$10+$M$94+IF($C$77="x",2)-IF($C$78="x",4)-IF($I$78="x",1)-IF($I$77="x",2)-IF($I$90="x",2)+IF($I$83="x",2)-IF($C$76="x",4)-$C$112+IF(H771="x",1)+I771+$M$77+IF(H773="x",1)+IF(J773="x",1)+IF($M$76="x",2)+J771+IF($M$85="x",1)+IF($M$113="x",1)+IF($M$120="x",2)+IF($M$119="x",2)+IF($M$105="x",1)+IF($M$110="x",1)+IF($M$111="x",2)+IF($M$112="x",4)+IF($M$108="x",1)-IF($M$109="x",1)-IF($M$99="x",1)+IF($M$90="x",1)-5
&amp;"/"&amp;SUM($C$3,$I$3)+IF(H775="x",1)-18+$I$16-$B$10+$M$94+IF($C$77="x",2)-IF($C$78="x",4)-IF($I$78="x",1)-IF($I$77="x",2)-IF($I$90="x",2)+IF($I$83="x",2)-IF($C$76="x",4)-$C$112+IF(H771="x",1)+I771+$M$77+IF(H773="x",1)+IF(J773="x",1)+IF($M$76="x",2)+J771+IF($M$85="x",1)+IF($M$113="x",1)+IF($M$120="x",2)+IF($M$119="x",2)+IF($M$105="x",1)+IF($M$110="x",1)+IF($M$111="x",2)+IF($M$112="x",4)+IF($M$108="x",1)-IF($M$109="x",1)-IF($M$99="x",1)+IF($M$90="x",1)-10,
$I$3&gt;=16,SUM($C$3,$I$3)+IF(H775="x",1)-18+$I$16-$B$10+$M$94+IF($C$77="x",2)-IF($C$78="x",4)-IF($I$78="x",1)-IF($I$77="x",2)-IF($I$90="x",2)+IF($I$83="x",2)-IF($C$76="x",4)-$C$112+IF(H771="x",1)+I771+$M$77+IF(H773="x",1)+IF(J773="x",1)+IF($M$76="x",2)+J771+IF($M$85="x",1)+IF($M$113="x",1)+IF($M$120="x",2)+IF($M$119="x",2)+IF($M$105="x",1)+IF($M$110="x",1)+IF($M$111="x",2)+IF($M$112="x",4)+IF($M$108="x",1)-IF($M$109="x",1)-IF($M$99="x",1)+IF($M$90="x",1)
&amp;"/"&amp;SUM($C$3,$I$3)+IF(H775="x",1)-18+$I$16-$B$10+$M$94+IF($C$77="x",2)-IF($C$78="x",4)-IF($I$78="x",1)-IF($I$77="x",2)-IF($I$90="x",2)+IF($I$83="x",2)-IF($C$76="x",4)-$C$112+IF(H771="x",1)+I771+$M$77+IF(H773="x",1)+IF(J773="x",1)+IF($M$76="x",2)+J771+IF($M$85="x",1)+IF($M$113="x",1)+IF($M$120="x",2)+IF($M$119="x",2)+IF($M$105="x",1)+IF($M$110="x",1)+IF($M$111="x",2)+IF($M$112="x",4)+IF($M$108="x",1)-IF($M$109="x",1)-IF($M$99="x",1)+IF($M$90="x",1)-5
&amp;"/"&amp;SUM($C$3,$I$3)+IF(H775="x",1)-18+$I$16-$B$10+$M$94+IF($C$77="x",2)-IF($C$78="x",4)-IF($I$78="x",1)-IF($I$77="x",2)-IF($I$90="x",2)+IF($I$83="x",2)-IF($C$76="x",4)-$C$112+IF(H771="x",1)+I771+$M$77+IF(H773="x",1)+IF(J773="x",1)+IF($M$76="x",2)+J771+IF($M$85="x",1)+IF($M$113="x",1)+IF($M$120="x",2)+IF($M$119="x",2)+IF($M$105="x",1)+IF($M$110="x",1)+IF($M$111="x",2)+IF($M$112="x",4)+IF($M$108="x",1)-IF($M$109="x",1)-IF($M$99="x",1)+IF($M$90="x",1)-10
&amp;"/"&amp;SUM($C$3,$I$3)+IF(H775="x",1)-18+$I$16-$B$10+$M$94+IF($C$77="x",2)-IF($C$78="x",4)-IF($I$78="x",1)-IF($I$77="x",2)-IF($I$90="x",2)+IF($I$83="x",2)-IF($C$76="x",4)-$C$112+IF(H771="x",1)+I771+$M$77+IF(H773="x",1)+IF(J773="x",1)+IF($M$76="x",2)+J771+IF($M$85="x",1)+IF($M$113="x",1)+IF($M$120="x",2)+IF($M$119="x",2)+IF($M$105="x",1)+IF($M$110="x",1)+IF($M$111="x",2)+IF($M$112="x",4)+IF($M$108="x",1)-IF($M$109="x",1)-IF($M$99="x",1)+IF($M$90="x",1)-15)</f>
        <v>-18</v>
      </c>
      <c r="C780" s="82"/>
      <c r="D780" s="121"/>
      <c r="E780" s="82"/>
      <c r="I780" s="155"/>
      <c r="J780" s="25"/>
      <c r="K780" s="25"/>
      <c r="AC780" s="41"/>
      <c r="AD780" s="40"/>
      <c r="AE780" s="41"/>
      <c r="AF780" s="40"/>
      <c r="AG780" s="40"/>
      <c r="AH780" s="40"/>
      <c r="AI780" s="40"/>
      <c r="AJ780" s="40"/>
      <c r="AK780" s="40"/>
      <c r="AL780" s="40"/>
    </row>
    <row r="781" spans="1:38" x14ac:dyDescent="0.2">
      <c r="B781" s="15"/>
      <c r="C781" s="15"/>
      <c r="D781" s="15"/>
      <c r="F781" s="15"/>
      <c r="G781" s="15"/>
      <c r="H781" s="15"/>
      <c r="I781" s="15"/>
      <c r="AB781" s="47"/>
      <c r="AC781" s="113"/>
      <c r="AD781" s="114"/>
      <c r="AE781" s="113"/>
      <c r="AF781" s="114"/>
      <c r="AG781" s="114"/>
      <c r="AH781" s="114"/>
      <c r="AI781" s="48"/>
      <c r="AJ781" s="48"/>
      <c r="AK781" s="48"/>
      <c r="AL781" s="48"/>
    </row>
    <row r="782" spans="1:38" x14ac:dyDescent="0.2">
      <c r="B782" s="15"/>
      <c r="C782" s="15"/>
      <c r="D782" s="15"/>
      <c r="F782" s="15"/>
      <c r="G782" s="15"/>
      <c r="H782" s="15"/>
      <c r="I782" s="15"/>
      <c r="AB782" s="55"/>
      <c r="AC782" s="129"/>
      <c r="AD782" s="54"/>
      <c r="AE782" s="53"/>
      <c r="AF782" s="54"/>
      <c r="AG782" s="54"/>
      <c r="AH782" s="53"/>
      <c r="AI782" s="40"/>
      <c r="AJ782" s="40"/>
      <c r="AK782" s="40"/>
      <c r="AL782" s="40"/>
    </row>
    <row r="783" spans="1:38" x14ac:dyDescent="0.2">
      <c r="A783" s="34" t="s">
        <v>273</v>
      </c>
      <c r="B783" s="11" t="s">
        <v>1</v>
      </c>
      <c r="C783" s="11" t="s">
        <v>2</v>
      </c>
      <c r="D783" s="11" t="s">
        <v>3</v>
      </c>
      <c r="E783" s="11" t="s">
        <v>229</v>
      </c>
      <c r="F783" s="11" t="s">
        <v>3</v>
      </c>
      <c r="G783" s="11" t="s">
        <v>45</v>
      </c>
      <c r="H783" s="14" t="s">
        <v>179</v>
      </c>
      <c r="I783" s="11" t="s">
        <v>242</v>
      </c>
      <c r="J783" s="11" t="s">
        <v>224</v>
      </c>
      <c r="K783" s="11" t="s">
        <v>225</v>
      </c>
      <c r="AC783" s="40"/>
      <c r="AD783" s="40"/>
      <c r="AE783" s="40"/>
      <c r="AG783" s="40"/>
      <c r="AH783" s="40"/>
      <c r="AI783" s="48"/>
      <c r="AJ783" s="40"/>
    </row>
    <row r="784" spans="1:38" x14ac:dyDescent="0.2">
      <c r="A784" s="126">
        <f>IF($C$98="x",120*1.5,120)</f>
        <v>120</v>
      </c>
      <c r="B784" s="121">
        <f>_xlfn.IFS($I$85="x","PAINISSA",
I788="x",SUM($C$3,$I$3)+IF(H788="x",1)+$I$16-$B$10+$M$94+IF($C$77="x",2)-IF($C$78="x",4)-IF($I$78="x",1)-IF($I$77="x",2)-IF($I$90="x",2)+IF($I$83="x",2)-IF($C$76="x",4)-$C$112+IF(H784="x",1)+I784+$M$77+IF(H786="x",1)+IF(J786="x",1)+IF($M$76="x",2)+J784+IF($M$85="x",1)+IF($M$113="x",1)+IF($M$120="x",2)+IF($M$119="x",2)+IF($M$105="x",1)+IF($M$110="x",1)+IF($M$111="x",2)+IF($M$112="x",4)+IF($M$108="x",1)-IF($M$109="x",1)-IF($M$99="x",1)+IF($M$90="x",1)-4,
J788="x",SUM($C$3,$I$3)+IF(H788="x",1)+$I$16-$B$10+$M$94+IF($C$77="x",2)-IF($C$78="x",4)-IF($I$78="x",1)-IF($I$77="x",2)-IF($I$90="x",2)+IF($I$83="x",2)-IF($C$76="x",4)-$C$112+IF(H784="x",1)+I784+$M$77+IF(H786="x",1)+IF(J786="x",1)+IF($M$76="x",2)+J784+IF($M$85="x",1)+IF($M$113="x",1)+IF($M$120="x",2)+IF($M$119="x",2)+IF($M$105="x",1)+IF($M$110="x",1)+IF($M$111="x",2)+IF($M$112="x",4)+IF($M$108="x",1)-IF($M$109="x",1)-IF($M$99="x",1)+IF($M$90="x",1)-IF($C$97="x",8,10)
&amp;"/"&amp;SUM($C$3,$I$3)+IF(H788="x",1)+$I$16-$B$10+$M$94+IF($C$77="x",2)-IF($C$78="x",4)-IF($I$78="x",1)-IF($I$77="x",2)-IF($I$90="x",2)+IF($I$83="x",2)-IF($C$76="x",4)-$C$112+IF(H784="x",1)+I784+$M$77+IF(H786="x",1)+IF(J786="x",1)+IF($M$76="x",2)+J784+IF($M$85="x",1)+IF($M$113="x",1)+IF($M$120="x",2)+IF($M$119="x",2)+IF($M$105="x",1)+IF($M$110="x",1)+IF($M$111="x",2)+IF($M$112="x",4)+IF($M$108="x",1)-IF($M$109="x",1)-IF($M$99="x",1)+IF($M$90="x",1)-IF($C$97="x",8,14),
$I$85="",SUM($C$3,$I$3)+IF(H788="x",1)+$I$16-$B$10+$M$94+IF($C$77="x",2)-IF($C$78="x",4)-IF($I$78="x",1)-IF($I$77="x",2)-IF($I$90="x",2)+IF($I$83="x",2)-IF($C$76="x",4)-$C$112+IF(H784="x",1)+I784+$M$77+IF(H786="x",1)+IF(J786="x",1)+IF($M$76="x",2)+J784+IF($M$85="x",1)+IF($M$113="x",1)+IF($M$120="x",2)+IF($M$119="x",2)+IF($M$105="x",1)+IF($M$110="x",1)+IF($M$111="x",2)+IF($M$112="x",4)+IF($M$108="x",1)-IF($M$109="x",1)-IF($M$99="x",1)+IF($M$90="x",1))</f>
        <v>0</v>
      </c>
      <c r="C784" s="49" t="str">
        <f>_xlfn.IFS($C$7="Minimaalinen","1n3",$C$7="Taskukokoinen","1n4",$C$7="Hyvin pieni","1n6",$C$7="Pieni","1n8",$C$7="Keskikokoinen","1n10",$C$7="Iso","2n8",$C$7="Valtava","3n8",$C$7="Suunnaton","4n8",$C$7="Giganttinen","6n8")</f>
        <v>1n10</v>
      </c>
      <c r="D784" s="51">
        <f>IF(H788="x",1,0)+IF(I786="x",2)+IF(K786="x",2)+I784+K784</f>
        <v>0</v>
      </c>
      <c r="E784" s="49" t="str">
        <f>_xlfn.IFS($C$7="Minimaalinen","2n3",$C$7="Taskukokoinen","2n4",$C$7="Hyvin pieni","2n6",$C$7="Pieni","2n8",$C$7="Keskikokoinen","2n10",$C$7="Iso","4n8",$C$7="Valtava","6n8",$C$7="Suunnaton","8n8",$C$7="Giganttinen","12n8")</f>
        <v>2n10</v>
      </c>
      <c r="F784" s="82">
        <f>SUM(D784*2)</f>
        <v>0</v>
      </c>
      <c r="G784" s="82" t="str">
        <f>(IF($I$89="x","50 %","")&amp;(IF($C$81="x","20 %",""))&amp;(IF($C$82="x","50 %","")))</f>
        <v/>
      </c>
      <c r="H784" s="28"/>
      <c r="I784" s="17">
        <v>0</v>
      </c>
      <c r="J784" s="17">
        <v>0</v>
      </c>
      <c r="K784" s="17">
        <v>0</v>
      </c>
      <c r="AC784" s="40"/>
      <c r="AD784" s="40"/>
      <c r="AE784" s="40"/>
      <c r="AG784" s="40"/>
      <c r="AH784" s="40"/>
      <c r="AI784" s="40"/>
      <c r="AJ784" s="40"/>
    </row>
    <row r="785" spans="1:38" x14ac:dyDescent="0.2">
      <c r="A785" s="127">
        <f>A784*2</f>
        <v>240</v>
      </c>
      <c r="B785" s="123">
        <f>_xlfn.IFS($I$85="x","PAINISSA",
I788="x",SUM($C$3,$I$3)+IF(H788="x",1)+$I$16-$B$10+$M$94+IF($C$77="x",2)-IF($C$78="x",4)-IF($I$78="x",1)-IF($I$77="x",2)-IF($I$90="x",2)+IF($I$83="x",2)-IF($C$76="x",4)-$C$112+IF(H784="x",1)+I784+$M$77+IF(H786="x",1)+IF(J786="x",1)+IF($M$76="x",2)+J784+IF($M$85="x",1)+IF($M$113="x",1)+IF($M$120="x",2)+IF($M$119="x",2)+IF($M$105="x",1)+IF($M$110="x",1)+IF($M$111="x",2)+IF($M$112="x",4)+IF($M$108="x",1)-IF($M$109="x",1)-IF($M$99="x",1)+IF($M$90="x",1)-4-2,
J788="x",SUM($C$3,$I$3)+IF(H788="x",1)+$I$16-$B$10+$M$94+IF($C$77="x",2)-IF($C$78="x",4)-IF($I$78="x",1)-IF($I$77="x",2)-IF($I$90="x",2)+IF($I$83="x",2)-IF($C$76="x",4)-$C$112+IF(H784="x",1)+I784+$M$77+IF(H786="x",1)+IF(J786="x",1)+IF($M$76="x",2)+J784+IF($M$85="x",1)+IF($M$113="x",1)+IF($M$120="x",2)+IF($M$119="x",2)+IF($M$105="x",1)+IF($M$110="x",1)+IF($M$111="x",2)+IF($M$112="x",4)+IF($M$108="x",1)-IF($M$109="x",1)-IF($M$99="x",1)+IF($M$90="x",1)-IF($C$97="x",8,10)-2
&amp;"/"&amp;SUM($C$3,$I$3)+IF(H788="x",1)+$I$16-$B$10+$M$94+IF($C$77="x",2)-IF($C$78="x",4)-IF($I$78="x",1)-IF($I$77="x",2)-IF($I$90="x",2)+IF($I$83="x",2)-IF($C$76="x",4)-$C$112+IF(H784="x",1)+I784+$M$77+IF(H786="x",1)+IF(J786="x",1)+IF($M$76="x",2)+J784+IF($M$85="x",1)+IF($M$113="x",1)+IF($M$120="x",2)+IF($M$119="x",2)+IF($M$105="x",1)+IF($M$110="x",1)+IF($M$111="x",2)+IF($M$112="x",4)+IF($M$108="x",1)-IF($M$109="x",1)-IF($M$99="x",1)+IF($M$90="x",1)-IF($C$97="x",8,14)-2,
$I$85="",SUM($C$3,$I$3)+IF(H788="x",1)+$I$16-$B$10+$M$94+IF($C$77="x",2)-IF($C$78="x",4)-IF($I$78="x",1)-IF($I$77="x",2)-IF($I$90="x",2)+IF($I$83="x",2)-IF($C$76="x",4)-$C$112+IF(H784="x",1)+I784+$M$77+IF(H786="x",1)+IF(J786="x",1)+IF($M$76="x",2)+J784+IF($M$85="x",1)+IF($M$113="x",1)+IF($M$120="x",2)+IF($M$119="x",2)+IF($M$105="x",1)+IF($M$110="x",1)+IF($M$111="x",2)+IF($M$112="x",4)+IF($M$108="x",1)-IF($M$109="x",1)-IF($M$99="x",1)+IF($M$90="x",1)-2)</f>
        <v>-2</v>
      </c>
      <c r="C785" s="82"/>
      <c r="D785" s="121"/>
      <c r="E785" s="82"/>
      <c r="F785" s="82"/>
      <c r="G785" s="82"/>
      <c r="H785" s="14" t="s">
        <v>220</v>
      </c>
      <c r="I785" s="14" t="s">
        <v>221</v>
      </c>
      <c r="J785" s="14" t="s">
        <v>222</v>
      </c>
      <c r="K785" s="14" t="s">
        <v>223</v>
      </c>
    </row>
    <row r="786" spans="1:38" x14ac:dyDescent="0.2">
      <c r="A786" s="126">
        <f>A784*3</f>
        <v>360</v>
      </c>
      <c r="B786" s="121">
        <f>_xlfn.IFS($I$85="x","PAINISSA",
I788="x",SUM($C$3,$I$3)+IF(H788="x",1)+$I$16-$B$10+$M$94+IF($C$77="x",2)-IF($C$78="x",4)-IF($I$78="x",1)-IF($I$77="x",2)-IF($I$90="x",2)+IF($I$83="x",2)-IF($C$76="x",4)-$C$112+IF(H784="x",1)+I784+$M$77+IF(H786="x",1)+IF(J786="x",1)+IF($M$76="x",2)+J784+IF($M$85="x",1)+IF($M$113="x",1)+IF($M$120="x",2)+IF($M$119="x",2)+IF($M$105="x",1)+IF($M$110="x",1)+IF($M$111="x",2)+IF($M$112="x",4)+IF($M$108="x",1)-IF($M$109="x",1)-IF($M$99="x",1)+IF($M$90="x",1)-4-4,
J788="x",SUM($C$3,$I$3)+IF(H788="x",1)+$I$16-$B$10+$M$94+IF($C$77="x",2)-IF($C$78="x",4)-IF($I$78="x",1)-IF($I$77="x",2)-IF($I$90="x",2)+IF($I$83="x",2)-IF($C$76="x",4)-$C$112+IF(H784="x",1)+I784+$M$77+IF(H786="x",1)+IF(J786="x",1)+IF($M$76="x",2)+J784+IF($M$85="x",1)+IF($M$113="x",1)+IF($M$120="x",2)+IF($M$119="x",2)+IF($M$105="x",1)+IF($M$110="x",1)+IF($M$111="x",2)+IF($M$112="x",4)+IF($M$108="x",1)-IF($M$109="x",1)-IF($M$99="x",1)+IF($M$90="x",1)-IF($C$97="x",8,10)-4
&amp;"/"&amp;SUM($C$3,$I$3)+IF(H788="x",1)+$I$16-$B$10+$M$94+IF($C$77="x",2)-IF($C$78="x",4)-IF($I$78="x",1)-IF($I$77="x",2)-IF($I$90="x",2)+IF($I$83="x",2)-IF($C$76="x",4)-$C$112+IF(H784="x",1)+I784+$M$77+IF(H786="x",1)+IF(J786="x",1)+IF($M$76="x",2)+J784+IF($M$85="x",1)+IF($M$113="x",1)+IF($M$120="x",2)+IF($M$119="x",2)+IF($M$105="x",1)+IF($M$110="x",1)+IF($M$111="x",2)+IF($M$112="x",4)+IF($M$108="x",1)-IF($M$109="x",1)-IF($M$99="x",1)+IF($M$90="x",1)-IF($C$97="x",8,14)-4,
$I$85="",SUM($C$3,$I$3)+IF(H788="x",1)+$I$16-$B$10+$M$94+IF($C$77="x",2)-IF($C$78="x",4)-IF($I$78="x",1)-IF($I$77="x",2)-IF($I$90="x",2)+IF($I$83="x",2)-IF($C$76="x",4)-$C$112+IF(H784="x",1)+I784+$M$77+IF(H786="x",1)+IF(J786="x",1)+IF($M$76="x",2)+J784+IF($M$85="x",1)+IF($M$113="x",1)+IF($M$120="x",2)+IF($M$119="x",2)+IF($M$105="x",1)+IF($M$110="x",1)+IF($M$111="x",2)+IF($M$112="x",4)+IF($M$108="x",1)-IF($M$109="x",1)-IF($M$99="x",1)+IF($M$90="x",1)-4)</f>
        <v>-4</v>
      </c>
      <c r="C786" s="82"/>
      <c r="D786" s="121"/>
      <c r="E786" s="82"/>
      <c r="F786" s="82"/>
      <c r="G786" s="82"/>
      <c r="H786" s="28"/>
      <c r="I786" s="28"/>
      <c r="J786" s="28"/>
      <c r="K786" s="28"/>
    </row>
    <row r="787" spans="1:38" x14ac:dyDescent="0.2">
      <c r="A787" s="127">
        <f>A784*4</f>
        <v>480</v>
      </c>
      <c r="B787" s="123">
        <f>_xlfn.IFS($I$85="x","PAINISSA",
I788="x",SUM($C$3,$I$3)+IF(H788="x",1)+$I$16-$B$10+$M$94+IF($C$77="x",2)-IF($C$78="x",4)-IF($I$78="x",1)-IF($I$77="x",2)-IF($I$90="x",2)+IF($I$83="x",2)-IF($C$76="x",4)-$C$112+IF(H784="x",1)+I784+$M$77+IF(H786="x",1)+IF(J786="x",1)+IF($M$76="x",2)+J784+IF($M$85="x",1)+IF($M$113="x",1)+IF($M$120="x",2)+IF($M$119="x",2)+IF($M$105="x",1)+IF($M$110="x",1)+IF($M$111="x",2)+IF($M$112="x",4)+IF($M$108="x",1)-IF($M$109="x",1)-IF($M$99="x",1)+IF($M$90="x",1)-4-6,
J788="x",SUM($C$3,$I$3)+IF(H788="x",1)+$I$16-$B$10+$M$94+IF($C$77="x",2)-IF($C$78="x",4)-IF($I$78="x",1)-IF($I$77="x",2)-IF($I$90="x",2)+IF($I$83="x",2)-IF($C$76="x",4)-$C$112+IF(H784="x",1)+I784+$M$77+IF(H786="x",1)+IF(J786="x",1)+IF($M$76="x",2)+J784+IF($M$85="x",1)+IF($M$113="x",1)+IF($M$120="x",2)+IF($M$119="x",2)+IF($M$105="x",1)+IF($M$110="x",1)+IF($M$111="x",2)+IF($M$112="x",4)+IF($M$108="x",1)-IF($M$109="x",1)-IF($M$99="x",1)+IF($M$90="x",1)-IF($C$97="x",8,10)-6
&amp;"/"&amp;SUM($C$3,$I$3)+IF(H788="x",1)+$I$16-$B$10+$M$94+IF($C$77="x",2)-IF($C$78="x",4)-IF($I$78="x",1)-IF($I$77="x",2)-IF($I$90="x",2)+IF($I$83="x",2)-IF($C$76="x",4)-$C$112+IF(H784="x",1)+I784+$M$77+IF(H786="x",1)+IF(J786="x",1)+IF($M$76="x",2)+J784+IF($M$85="x",1)+IF($M$113="x",1)+IF($M$120="x",2)+IF($M$119="x",2)+IF($M$105="x",1)+IF($M$110="x",1)+IF($M$111="x",2)+IF($M$112="x",4)+IF($M$108="x",1)-IF($M$109="x",1)-IF($M$99="x",1)+IF($M$90="x",1)-IF($C$97="x",8,14)-6,
$I$85="",SUM($C$3,$I$3)+IF(H788="x",1)+$I$16-$B$10+$M$94+IF($C$77="x",2)-IF($C$78="x",4)-IF($I$78="x",1)-IF($I$77="x",2)-IF($I$90="x",2)+IF($I$83="x",2)-IF($C$76="x",4)-$C$112+IF(H784="x",1)+I784+$M$77+IF(H786="x",1)+IF(J786="x",1)+IF($M$76="x",2)+J784+IF($M$85="x",1)+IF($M$113="x",1)+IF($M$120="x",2)+IF($M$119="x",2)+IF($M$105="x",1)+IF($M$110="x",1)+IF($M$111="x",2)+IF($M$112="x",4)+IF($M$108="x",1)-IF($M$109="x",1)-IF($M$99="x",1)+IF($M$90="x",1)-6)</f>
        <v>-6</v>
      </c>
      <c r="C787" s="82"/>
      <c r="D787" s="121"/>
      <c r="E787" s="82"/>
      <c r="F787" s="82"/>
      <c r="G787" s="82"/>
      <c r="H787" s="14" t="s">
        <v>182</v>
      </c>
      <c r="I787" s="11" t="s">
        <v>246</v>
      </c>
      <c r="J787" s="11" t="s">
        <v>247</v>
      </c>
      <c r="N787" s="15"/>
      <c r="AB787" s="15"/>
      <c r="AC787" s="15"/>
      <c r="AD787" s="15"/>
      <c r="AE787" s="15"/>
      <c r="AF787" s="15"/>
      <c r="AG787" s="15"/>
      <c r="AH787" s="15"/>
      <c r="AI787" s="15"/>
      <c r="AJ787" s="15"/>
      <c r="AK787" s="15"/>
      <c r="AL787" s="15"/>
    </row>
    <row r="788" spans="1:38" x14ac:dyDescent="0.2">
      <c r="A788" s="126">
        <f>A784*5</f>
        <v>600</v>
      </c>
      <c r="B788" s="121">
        <f>_xlfn.IFS($I$85="x","PAINISSA",
I788="x",SUM($C$3,$I$3)+IF(H788="x",1)+$I$16-$B$10+$M$94+IF($C$77="x",2)-IF($C$78="x",4)-IF($I$78="x",1)-IF($I$77="x",2)-IF($I$90="x",2)+IF($I$83="x",2)-IF($C$76="x",4)-$C$112+IF(H784="x",1)+I784+$M$77+IF(H786="x",1)+IF(J786="x",1)+IF($M$76="x",2)+J784+IF($M$85="x",1)+IF($M$113="x",1)+IF($M$120="x",2)+IF($M$119="x",2)+IF($M$105="x",1)+IF($M$110="x",1)+IF($M$111="x",2)+IF($M$112="x",4)+IF($M$108="x",1)-IF($M$109="x",1)-IF($M$99="x",1)+IF($M$90="x",1)-4-8,
J788="x",SUM($C$3,$I$3)+IF(H788="x",1)+$I$16-$B$10+$M$94+IF($C$77="x",2)-IF($C$78="x",4)-IF($I$78="x",1)-IF($I$77="x",2)-IF($I$90="x",2)+IF($I$83="x",2)-IF($C$76="x",4)-$C$112+IF(H784="x",1)+I784+$M$77+IF(H786="x",1)+IF(J786="x",1)+IF($M$76="x",2)+J784+IF($M$85="x",1)+IF($M$113="x",1)+IF($M$120="x",2)+IF($M$119="x",2)+IF($M$105="x",1)+IF($M$110="x",1)+IF($M$111="x",2)+IF($M$112="x",4)+IF($M$108="x",1)-IF($M$109="x",1)-IF($M$99="x",1)+IF($M$90="x",1)-IF($C$97="x",8,10)-8
&amp;"/"&amp;SUM($C$3,$I$3)+IF(H788="x",1)+$I$16-$B$10+$M$94+IF($C$77="x",2)-IF($C$78="x",4)-IF($I$78="x",1)-IF($I$77="x",2)-IF($I$90="x",2)+IF($I$83="x",2)-IF($C$76="x",4)-$C$112+IF(H784="x",1)+I784+$M$77+IF(H786="x",1)+IF(J786="x",1)+IF($M$76="x",2)+J784+IF($M$85="x",1)+IF($M$113="x",1)+IF($M$120="x",2)+IF($M$119="x",2)+IF($M$105="x",1)+IF($M$110="x",1)+IF($M$111="x",2)+IF($M$112="x",4)+IF($M$108="x",1)-IF($M$109="x",1)-IF($M$99="x",1)+IF($M$90="x",1)-IF($C$97="x",8,14)-8,
$I$85="",SUM($C$3,$I$3)+IF(H788="x",1)+$I$16-$B$10+$M$94+IF($C$77="x",2)-IF($C$78="x",4)-IF($I$78="x",1)-IF($I$77="x",2)-IF($I$90="x",2)+IF($I$83="x",2)-IF($C$76="x",4)-$C$112+IF(H784="x",1)+I784+$M$77+IF(H786="x",1)+IF(J786="x",1)+IF($M$76="x",2)+J784+IF($M$85="x",1)+IF($M$113="x",1)+IF($M$120="x",2)+IF($M$119="x",2)+IF($M$105="x",1)+IF($M$110="x",1)+IF($M$111="x",2)+IF($M$112="x",4)+IF($M$108="x",1)-IF($M$109="x",1)-IF($M$99="x",1)+IF($M$90="x",1)-8)</f>
        <v>-8</v>
      </c>
      <c r="C788" s="82"/>
      <c r="D788" s="121"/>
      <c r="E788" s="82"/>
      <c r="F788" s="82"/>
      <c r="G788" s="82"/>
      <c r="H788" s="28"/>
      <c r="I788" s="28"/>
      <c r="J788" s="28"/>
      <c r="K788" s="25"/>
      <c r="N788" s="15"/>
      <c r="AB788" s="15"/>
      <c r="AC788" s="15"/>
      <c r="AD788" s="15"/>
      <c r="AE788" s="15"/>
      <c r="AF788" s="15"/>
      <c r="AG788" s="15"/>
      <c r="AH788" s="15"/>
      <c r="AI788" s="15"/>
      <c r="AJ788" s="15"/>
      <c r="AK788" s="15"/>
      <c r="AL788" s="15"/>
    </row>
    <row r="789" spans="1:38" x14ac:dyDescent="0.2">
      <c r="A789" s="127">
        <f>A784*6</f>
        <v>720</v>
      </c>
      <c r="B789" s="123">
        <f>_xlfn.IFS($I$85="x","PAINISSA",
I788="x",SUM($C$3,$I$3)+IF(H788="x",1)+$I$16-$B$10+$M$94+IF($C$77="x",2)-IF($C$78="x",4)-IF($I$78="x",1)-IF($I$77="x",2)-IF($I$90="x",2)+IF($I$83="x",2)-IF($C$76="x",4)-$C$112+IF(H784="x",1)+I784+$M$77+IF(H786="x",1)+IF(J786="x",1)+IF($M$76="x",2)+J784+IF($M$85="x",1)+IF($M$113="x",1)+IF($M$120="x",2)+IF($M$119="x",2)+IF($M$105="x",1)+IF($M$110="x",1)+IF($M$111="x",2)+IF($M$112="x",4)+IF($M$108="x",1)-IF($M$109="x",1)-IF($M$99="x",1)+IF($M$90="x",1)-4-10,
J788="x",SUM($C$3,$I$3)+IF(H788="x",1)+$I$16-$B$10+$M$94+IF($C$77="x",2)-IF($C$78="x",4)-IF($I$78="x",1)-IF($I$77="x",2)-IF($I$90="x",2)+IF($I$83="x",2)-IF($C$76="x",4)-$C$112+IF(H784="x",1)+I784+$M$77+IF(H786="x",1)+IF(J786="x",1)+IF($M$76="x",2)+J784+IF($M$85="x",1)+IF($M$113="x",1)+IF($M$120="x",2)+IF($M$119="x",2)+IF($M$105="x",1)+IF($M$110="x",1)+IF($M$111="x",2)+IF($M$112="x",4)+IF($M$108="x",1)-IF($M$109="x",1)-IF($M$99="x",1)+IF($M$90="x",1)-IF($C$97="x",8,10)-10
&amp;"/"&amp;SUM($C$3,$I$3)+IF(H788="x",1)+$I$16-$B$10+$M$94+IF($C$77="x",2)-IF($C$78="x",4)-IF($I$78="x",1)-IF($I$77="x",2)-IF($I$90="x",2)+IF($I$83="x",2)-IF($C$76="x",4)-$C$112+IF(H784="x",1)+I784+$M$77+IF(H786="x",1)+IF(J786="x",1)+IF($M$76="x",2)+J784+IF($M$85="x",1)+IF($M$113="x",1)+IF($M$120="x",2)+IF($M$119="x",2)+IF($M$105="x",1)+IF($M$110="x",1)+IF($M$111="x",2)+IF($M$112="x",4)+IF($M$108="x",1)-IF($M$109="x",1)-IF($M$99="x",1)+IF($M$90="x",1)-IF($C$97="x",8,14)-10,
$I$85="",SUM($C$3,$I$3)+IF(H788="x",1)+$I$16-$B$10+$M$94+IF($C$77="x",2)-IF($C$78="x",4)-IF($I$78="x",1)-IF($I$77="x",2)-IF($I$90="x",2)+IF($I$83="x",2)-IF($C$76="x",4)-$C$112+IF(H784="x",1)+I784+$M$77+IF(H786="x",1)+IF(J786="x",1)+IF($M$76="x",2)+J784+IF($M$85="x",1)+IF($M$113="x",1)+IF($M$120="x",2)+IF($M$119="x",2)+IF($M$105="x",1)+IF($M$110="x",1)+IF($M$111="x",2)+IF($M$112="x",4)+IF($M$108="x",1)-IF($M$109="x",1)-IF($M$99="x",1)+IF($M$90="x",1)-10)</f>
        <v>-10</v>
      </c>
      <c r="C789" s="82"/>
      <c r="D789" s="121"/>
      <c r="E789" s="82"/>
      <c r="F789" s="82"/>
      <c r="G789" s="82"/>
      <c r="H789" s="82"/>
      <c r="I789" s="25"/>
      <c r="J789" s="64"/>
      <c r="K789" s="64"/>
      <c r="N789" s="15"/>
      <c r="AB789" s="15"/>
      <c r="AC789" s="15"/>
      <c r="AD789" s="15"/>
      <c r="AE789" s="15"/>
      <c r="AF789" s="15"/>
      <c r="AG789" s="15"/>
      <c r="AH789" s="15"/>
      <c r="AI789" s="15"/>
      <c r="AJ789" s="15"/>
      <c r="AK789" s="15"/>
      <c r="AL789" s="15"/>
    </row>
    <row r="790" spans="1:38" x14ac:dyDescent="0.2">
      <c r="A790" s="126">
        <f>A784*7</f>
        <v>840</v>
      </c>
      <c r="B790" s="121">
        <f>_xlfn.IFS($I$85="x","PAINISSA",
I788="x",SUM($C$3,$I$3)+IF(H788="x",1)+$I$16-$B$10+$M$94+IF($C$77="x",2)-IF($C$78="x",4)-IF($I$78="x",1)-IF($I$77="x",2)-IF($I$90="x",2)+IF($I$83="x",2)-IF($C$76="x",4)-$C$112+IF(H784="x",1)+I784+$M$77+IF(H786="x",1)+IF(J786="x",1)+IF($M$76="x",2)+J784+IF($M$85="x",1)+IF($M$113="x",1)+IF($M$120="x",2)+IF($M$119="x",2)+IF($M$105="x",1)+IF($M$110="x",1)+IF($M$111="x",2)+IF($M$112="x",4)+IF($M$108="x",1)-IF($M$109="x",1)-IF($M$99="x",1)+IF($M$90="x",1)-4-12,
J788="x",SUM($C$3,$I$3)+IF(H788="x",1)+$I$16-$B$10+$M$94+IF($C$77="x",2)-IF($C$78="x",4)-IF($I$78="x",1)-IF($I$77="x",2)-IF($I$90="x",2)+IF($I$83="x",2)-IF($C$76="x",4)-$C$112+IF(H784="x",1)+I784+$M$77+IF(H786="x",1)+IF(J786="x",1)+IF($M$76="x",2)+J784+IF($M$85="x",1)+IF($M$113="x",1)+IF($M$120="x",2)+IF($M$119="x",2)+IF($M$105="x",1)+IF($M$110="x",1)+IF($M$111="x",2)+IF($M$112="x",4)+IF($M$108="x",1)-IF($M$109="x",1)-IF($M$99="x",1)+IF($M$90="x",1)-IF($C$97="x",8,10)-12
&amp;"/"&amp;SUM($C$3,$I$3)+IF(H788="x",1)+$I$16-$B$10+$M$94+IF($C$77="x",2)-IF($C$78="x",4)-IF($I$78="x",1)-IF($I$77="x",2)-IF($I$90="x",2)+IF($I$83="x",2)-IF($C$76="x",4)-$C$112+IF(H784="x",1)+I784+$M$77+IF(H786="x",1)+IF(J786="x",1)+IF($M$76="x",2)+J784+IF($M$85="x",1)+IF($M$113="x",1)+IF($M$120="x",2)+IF($M$119="x",2)+IF($M$105="x",1)+IF($M$110="x",1)+IF($M$111="x",2)+IF($M$112="x",4)+IF($M$108="x",1)-IF($M$109="x",1)-IF($M$99="x",1)+IF($M$90="x",1)-IF($C$97="x",8,14)-12,
$I$85="",SUM($C$3,$I$3)+IF(H788="x",1)+$I$16-$B$10+$M$94+IF($C$77="x",2)-IF($C$78="x",4)-IF($I$78="x",1)-IF($I$77="x",2)-IF($I$90="x",2)+IF($I$83="x",2)-IF($C$76="x",4)-$C$112+IF(H784="x",1)+I784+$M$77+IF(H786="x",1)+IF(J786="x",1)+IF($M$76="x",2)+J784+IF($M$85="x",1)+IF($M$113="x",1)+IF($M$120="x",2)+IF($M$119="x",2)+IF($M$105="x",1)+IF($M$110="x",1)+IF($M$111="x",2)+IF($M$112="x",4)+IF($M$108="x",1)-IF($M$109="x",1)-IF($M$99="x",1)+IF($M$90="x",1)-12)</f>
        <v>-12</v>
      </c>
      <c r="C790" s="82"/>
      <c r="D790" s="121"/>
      <c r="E790" s="82"/>
      <c r="F790" s="82"/>
      <c r="G790" s="82"/>
      <c r="H790" s="82"/>
      <c r="J790" s="64"/>
      <c r="K790" s="64"/>
      <c r="N790" s="15"/>
      <c r="AB790" s="15"/>
      <c r="AC790" s="15"/>
      <c r="AD790" s="15"/>
      <c r="AE790" s="15"/>
      <c r="AF790" s="15"/>
      <c r="AG790" s="15"/>
      <c r="AH790" s="15"/>
      <c r="AI790" s="15"/>
      <c r="AJ790" s="15"/>
      <c r="AK790" s="15"/>
      <c r="AL790" s="15"/>
    </row>
    <row r="791" spans="1:38" x14ac:dyDescent="0.2">
      <c r="A791" s="127">
        <f>A784*8</f>
        <v>960</v>
      </c>
      <c r="B791" s="123">
        <f>_xlfn.IFS($I$85="x","PAINISSA",
I788="x",SUM($C$3,$I$3)+IF(H788="x",1)+$I$16-$B$10+$M$94+IF($C$77="x",2)-IF($C$78="x",4)-IF($I$78="x",1)-IF($I$77="x",2)-IF($I$90="x",2)+IF($I$83="x",2)-IF($C$76="x",4)-$C$112+IF(H784="x",1)+I784+$M$77+IF(H786="x",1)+IF(J786="x",1)+IF($M$76="x",2)+J784+IF($M$85="x",1)+IF($M$113="x",1)+IF($M$120="x",2)+IF($M$119="x",2)+IF($M$105="x",1)+IF($M$110="x",1)+IF($M$111="x",2)+IF($M$112="x",4)+IF($M$108="x",1)-IF($M$109="x",1)-IF($M$99="x",1)+IF($M$90="x",1)-4-14,
J788="x",SUM($C$3,$I$3)+IF(H788="x",1)+$I$16-$B$10+$M$94+IF($C$77="x",2)-IF($C$78="x",4)-IF($I$78="x",1)-IF($I$77="x",2)-IF($I$90="x",2)+IF($I$83="x",2)-IF($C$76="x",4)-$C$112+IF(H784="x",1)+I784+$M$77+IF(H786="x",1)+IF(J786="x",1)+IF($M$76="x",2)+J784+IF($M$85="x",1)+IF($M$113="x",1)+IF($M$120="x",2)+IF($M$119="x",2)+IF($M$105="x",1)+IF($M$110="x",1)+IF($M$111="x",2)+IF($M$112="x",4)+IF($M$108="x",1)-IF($M$109="x",1)-IF($M$99="x",1)+IF($M$90="x",1)-IF($C$97="x",8,10)-14
&amp;"/"&amp;SUM($C$3,$I$3)+IF(H788="x",1)+$I$16-$B$10+$M$94+IF($C$77="x",2)-IF($C$78="x",4)-IF($I$78="x",1)-IF($I$77="x",2)-IF($I$90="x",2)+IF($I$83="x",2)-IF($C$76="x",4)-$C$112+IF(H784="x",1)+I784+$M$77+IF(H786="x",1)+IF(J786="x",1)+IF($M$76="x",2)+J784+IF($M$85="x",1)+IF($M$113="x",1)+IF($M$120="x",2)+IF($M$119="x",2)+IF($M$105="x",1)+IF($M$110="x",1)+IF($M$111="x",2)+IF($M$112="x",4)+IF($M$108="x",1)-IF($M$109="x",1)-IF($M$99="x",1)+IF($M$90="x",1)-IF($C$97="x",8,14)-14,
$I$85="",SUM($C$3,$I$3)+IF(H788="x",1)+$I$16-$B$10+$M$94+IF($C$77="x",2)-IF($C$78="x",4)-IF($I$78="x",1)-IF($I$77="x",2)-IF($I$90="x",2)+IF($I$83="x",2)-IF($C$76="x",4)-$C$112+IF(H784="x",1)+I784+$M$77+IF(H786="x",1)+IF(J786="x",1)+IF($M$76="x",2)+J784+IF($M$85="x",1)+IF($M$113="x",1)+IF($M$120="x",2)+IF($M$119="x",2)+IF($M$105="x",1)+IF($M$110="x",1)+IF($M$111="x",2)+IF($M$112="x",4)+IF($M$108="x",1)-IF($M$109="x",1)-IF($M$99="x",1)+IF($M$90="x",1)-14)</f>
        <v>-14</v>
      </c>
      <c r="C791" s="82"/>
      <c r="D791" s="121"/>
      <c r="E791" s="82"/>
      <c r="F791" s="82"/>
      <c r="G791" s="82"/>
      <c r="H791" s="82"/>
      <c r="I791" s="82"/>
      <c r="J791" s="64"/>
      <c r="K791" s="64"/>
      <c r="N791" s="15"/>
      <c r="AB791" s="15"/>
      <c r="AC791" s="15"/>
      <c r="AD791" s="15"/>
      <c r="AE791" s="15"/>
      <c r="AF791" s="15"/>
      <c r="AG791" s="15"/>
      <c r="AH791" s="15"/>
      <c r="AI791" s="15"/>
      <c r="AJ791" s="15"/>
      <c r="AK791" s="15"/>
      <c r="AL791" s="15"/>
    </row>
    <row r="792" spans="1:38" x14ac:dyDescent="0.2">
      <c r="A792" s="126">
        <f>A784*9</f>
        <v>1080</v>
      </c>
      <c r="B792" s="121">
        <f>_xlfn.IFS($I$85="x","PAINISSA",
I788="x",SUM($C$3,$I$3)+IF(H788="x",1)+$I$16-$B$10+$M$94+IF($C$77="x",2)-IF($C$78="x",4)-IF($I$78="x",1)-IF($I$77="x",2)-IF($I$90="x",2)+IF($I$83="x",2)-IF($C$76="x",4)-$C$112+IF(H784="x",1)+I784+$M$77+IF(H786="x",1)+IF(J786="x",1)+IF($M$76="x",2)+J784+IF($M$85="x",1)+IF($M$113="x",1)+IF($M$120="x",2)+IF($M$119="x",2)+IF($M$105="x",1)+IF($M$110="x",1)+IF($M$111="x",2)+IF($M$112="x",4)+IF($M$108="x",1)-IF($M$109="x",1)-IF($M$99="x",1)+IF($M$90="x",1)-4-16,
J788="x",SUM($C$3,$I$3)+IF(H788="x",1)+$I$16-$B$10+$M$94+IF($C$77="x",2)-IF($C$78="x",4)-IF($I$78="x",1)-IF($I$77="x",2)-IF($I$90="x",2)+IF($I$83="x",2)-IF($C$76="x",4)-$C$112+IF(H784="x",1)+I784+$M$77+IF(H786="x",1)+IF(J786="x",1)+IF($M$76="x",2)+J784+IF($M$85="x",1)+IF($M$113="x",1)+IF($M$120="x",2)+IF($M$119="x",2)+IF($M$105="x",1)+IF($M$110="x",1)+IF($M$111="x",2)+IF($M$112="x",4)+IF($M$108="x",1)-IF($M$109="x",1)-IF($M$99="x",1)+IF($M$90="x",1)-IF($C$97="x",8,10)-16
&amp;"/"&amp;SUM($C$3,$I$3)+IF(H788="x",1)+$I$16-$B$10+$M$94+IF($C$77="x",2)-IF($C$78="x",4)-IF($I$78="x",1)-IF($I$77="x",2)-IF($I$90="x",2)+IF($I$83="x",2)-IF($C$76="x",4)-$C$112+IF(H784="x",1)+I784+$M$77+IF(H786="x",1)+IF(J786="x",1)+IF($M$76="x",2)+J784+IF($M$85="x",1)+IF($M$113="x",1)+IF($M$120="x",2)+IF($M$119="x",2)+IF($M$105="x",1)+IF($M$110="x",1)+IF($M$111="x",2)+IF($M$112="x",4)+IF($M$108="x",1)-IF($M$109="x",1)-IF($M$99="x",1)+IF($M$90="x",1)-IF($C$97="x",8,14)-16,
$I$85="",SUM($C$3,$I$3)+IF(H788="x",1)+$I$16-$B$10+$M$94+IF($C$77="x",2)-IF($C$78="x",4)-IF($I$78="x",1)-IF($I$77="x",2)-IF($I$90="x",2)+IF($I$83="x",2)-IF($C$76="x",4)-$C$112+IF(H784="x",1)+I784+$M$77+IF(H786="x",1)+IF(J786="x",1)+IF($M$76="x",2)+J784+IF($M$85="x",1)+IF($M$113="x",1)+IF($M$120="x",2)+IF($M$119="x",2)+IF($M$105="x",1)+IF($M$110="x",1)+IF($M$111="x",2)+IF($M$112="x",4)+IF($M$108="x",1)-IF($M$109="x",1)-IF($M$99="x",1)+IF($M$90="x",1)-16)</f>
        <v>-16</v>
      </c>
      <c r="C792" s="82"/>
      <c r="D792" s="121"/>
      <c r="E792" s="82"/>
      <c r="F792" s="82"/>
      <c r="G792" s="82"/>
      <c r="H792" s="82"/>
      <c r="I792" s="155"/>
      <c r="N792" s="15"/>
      <c r="AB792" s="15"/>
      <c r="AC792" s="15"/>
      <c r="AD792" s="15"/>
      <c r="AE792" s="15"/>
      <c r="AF792" s="15"/>
      <c r="AG792" s="15"/>
      <c r="AH792" s="15"/>
      <c r="AI792" s="15"/>
      <c r="AJ792" s="15"/>
      <c r="AK792" s="15"/>
      <c r="AL792" s="15"/>
    </row>
    <row r="793" spans="1:38" x14ac:dyDescent="0.2">
      <c r="A793" s="127">
        <f>A784*10</f>
        <v>1200</v>
      </c>
      <c r="B793" s="123">
        <f>_xlfn.IFS($I$85="x","PAINISSA",
I788="x",SUM($C$3,$I$3)+IF(H788="x",1)+$I$16-$B$10+$M$94+IF($C$77="x",2)-IF($C$78="x",4)-IF($I$78="x",1)-IF($I$77="x",2)-IF($I$90="x",2)+IF($I$83="x",2)-IF($C$76="x",4)-$C$112+IF(H784="x",1)+I784+$M$77+IF(H786="x",1)+IF(J786="x",1)+IF($M$76="x",2)+J784+IF($M$85="x",1)+IF($M$113="x",1)+IF($M$120="x",2)+IF($M$119="x",2)+IF($M$105="x",1)+IF($M$110="x",1)+IF($M$111="x",2)+IF($M$112="x",4)+IF($M$108="x",1)-IF($M$109="x",1)-IF($M$99="x",1)+IF($M$90="x",1)-4-18,
J788="x",SUM($C$3,$I$3)+IF(H788="x",1)+$I$16-$B$10+$M$94+IF($C$77="x",2)-IF($C$78="x",4)-IF($I$78="x",1)-IF($I$77="x",2)-IF($I$90="x",2)+IF($I$83="x",2)-IF($C$76="x",4)-$C$112+IF(H784="x",1)+I784+$M$77+IF(H786="x",1)+IF(J786="x",1)+IF($M$76="x",2)+J784+IF($M$85="x",1)+IF($M$113="x",1)+IF($M$120="x",2)+IF($M$119="x",2)+IF($M$105="x",1)+IF($M$110="x",1)+IF($M$111="x",2)+IF($M$112="x",4)+IF($M$108="x",1)-IF($M$109="x",1)-IF($M$99="x",1)+IF($M$90="x",1)-IF($C$97="x",8,10)-18
&amp;"/"&amp;SUM($C$3,$I$3)+IF(H788="x",1)+$I$16-$B$10+$M$94+IF($C$77="x",2)-IF($C$78="x",4)-IF($I$78="x",1)-IF($I$77="x",2)-IF($I$90="x",2)+IF($I$83="x",2)-IF($C$76="x",4)-$C$112+IF(H784="x",1)+I784+$M$77+IF(H786="x",1)+IF(J786="x",1)+IF($M$76="x",2)+J784+IF($M$85="x",1)+IF($M$113="x",1)+IF($M$120="x",2)+IF($M$119="x",2)+IF($M$105="x",1)+IF($M$110="x",1)+IF($M$111="x",2)+IF($M$112="x",4)+IF($M$108="x",1)-IF($M$109="x",1)-IF($M$99="x",1)+IF($M$90="x",1)-IF($C$97="x",8,14)-18,
$I$85="",SUM($C$3,$I$3)+IF(H788="x",1)+$I$16-$B$10+$M$94+IF($C$77="x",2)-IF($C$78="x",4)-IF($I$78="x",1)-IF($I$77="x",2)-IF($I$90="x",2)+IF($I$83="x",2)-IF($C$76="x",4)-$C$112+IF(H784="x",1)+I784+$M$77+IF(H786="x",1)+IF(J786="x",1)+IF($M$76="x",2)+J784+IF($M$85="x",1)+IF($M$113="x",1)+IF($M$120="x",2)+IF($M$119="x",2)+IF($M$105="x",1)+IF($M$110="x",1)+IF($M$111="x",2)+IF($M$112="x",4)+IF($M$108="x",1)-IF($M$109="x",1)-IF($M$99="x",1)+IF($M$90="x",1)-18)</f>
        <v>-18</v>
      </c>
      <c r="C793" s="82"/>
      <c r="D793" s="121"/>
      <c r="E793" s="82"/>
      <c r="I793" s="155"/>
      <c r="J793" s="25"/>
      <c r="K793" s="25"/>
      <c r="N793" s="15"/>
      <c r="AB793" s="15"/>
      <c r="AC793" s="15"/>
      <c r="AD793" s="15"/>
      <c r="AE793" s="15"/>
      <c r="AF793" s="15"/>
      <c r="AG793" s="15"/>
      <c r="AH793" s="15"/>
      <c r="AI793" s="15"/>
      <c r="AJ793" s="15"/>
      <c r="AK793" s="15"/>
      <c r="AL793" s="15"/>
    </row>
    <row r="794" spans="1:38" x14ac:dyDescent="0.2">
      <c r="A794" s="45"/>
      <c r="B794" s="45"/>
      <c r="C794" s="45"/>
      <c r="D794" s="45"/>
      <c r="E794" s="45"/>
      <c r="F794" s="45"/>
      <c r="G794" s="45"/>
      <c r="H794" s="45"/>
      <c r="I794" s="45"/>
      <c r="J794" s="45"/>
      <c r="K794" s="45"/>
      <c r="N794" s="15"/>
      <c r="AB794" s="15"/>
      <c r="AC794" s="15"/>
      <c r="AD794" s="15"/>
      <c r="AE794" s="15"/>
      <c r="AF794" s="15"/>
      <c r="AG794" s="15"/>
      <c r="AH794" s="15"/>
      <c r="AI794" s="15"/>
      <c r="AJ794" s="15"/>
      <c r="AK794" s="15"/>
      <c r="AL794" s="15"/>
    </row>
    <row r="795" spans="1:38" x14ac:dyDescent="0.2">
      <c r="A795" s="46"/>
      <c r="B795" s="48"/>
      <c r="C795" s="48"/>
      <c r="D795" s="48"/>
      <c r="E795" s="48"/>
      <c r="F795" s="48"/>
      <c r="G795" s="48"/>
      <c r="H795" s="48"/>
      <c r="I795" s="48"/>
      <c r="J795" s="48"/>
      <c r="K795" s="48"/>
      <c r="N795" s="15"/>
      <c r="AB795" s="15"/>
      <c r="AC795" s="15"/>
      <c r="AD795" s="15"/>
      <c r="AE795" s="15"/>
      <c r="AF795" s="15"/>
      <c r="AG795" s="15"/>
      <c r="AH795" s="15"/>
      <c r="AI795" s="15"/>
      <c r="AJ795" s="15"/>
      <c r="AK795" s="15"/>
      <c r="AL795" s="15"/>
    </row>
    <row r="796" spans="1:38" x14ac:dyDescent="0.2">
      <c r="A796" s="34" t="s">
        <v>277</v>
      </c>
      <c r="B796" s="11" t="s">
        <v>1</v>
      </c>
      <c r="C796" s="11" t="s">
        <v>2</v>
      </c>
      <c r="D796" s="11" t="s">
        <v>3</v>
      </c>
      <c r="E796" s="11" t="s">
        <v>229</v>
      </c>
      <c r="F796" s="11" t="s">
        <v>3</v>
      </c>
      <c r="G796" s="11" t="s">
        <v>45</v>
      </c>
      <c r="H796" s="14" t="s">
        <v>179</v>
      </c>
      <c r="I796" s="11" t="s">
        <v>242</v>
      </c>
      <c r="J796" s="11" t="s">
        <v>224</v>
      </c>
      <c r="K796" s="11" t="s">
        <v>225</v>
      </c>
      <c r="N796" s="15"/>
      <c r="AB796" s="15"/>
      <c r="AC796" s="15"/>
      <c r="AD796" s="15"/>
      <c r="AE796" s="15"/>
      <c r="AF796" s="15"/>
      <c r="AG796" s="15"/>
      <c r="AH796" s="15"/>
      <c r="AI796" s="15"/>
      <c r="AJ796" s="15"/>
      <c r="AK796" s="15"/>
      <c r="AL796" s="15"/>
    </row>
    <row r="797" spans="1:38" x14ac:dyDescent="0.2">
      <c r="A797" s="126">
        <f>IF($C$98="x",70*1.5,70)</f>
        <v>70</v>
      </c>
      <c r="B797" s="121">
        <f>_xlfn.IFS($I$85="x","PAINISSA",
N99&lt;6,SUM($C$3,$I$3)+IF(H801="x",1)-IF($C$79="x",4)-IF($I$2&lt;I801,2)+$I$16-$B$10+$M$94+IF($C$77="x",2)-IF($C$78="x",4)-IF($I$78="x",1)-IF($I$77="x",2)-IF($I$90="x",2)+IF($I$83="x",2)-IF($C$76="x",4)-$C$112+IF(H797="x",1)+I797+$M$77+IF(H799="x",1)+IF(J799="x",1)+IF($M$76="x",2)+J797+IF($M$85="x",1)+IF($M$113="x",1)+IF($M$120="x",2)+IF($M$119="x",2)+IF($M$105="x",1)+IF($M$110="x",1)+IF($M$111="x",2)+IF($M$112="x",4)+IF($M$108="x",1)-IF($M$109="x",1)-IF($M$99="x",1)+IF($M$90="x",1),
N99&lt;11,SUM($C$3,$I$3)+IF(H801="x",1)-IF($C$79="x",4)-IF($I$2&lt;I801,2)+$I$16-$B$10+$M$94+IF($C$77="x",2)-IF($C$78="x",4)-IF($I$78="x",1)-IF($I$77="x",2)-IF($I$90="x",2)+IF($I$83="x",2)-IF($C$76="x",4)-$C$112+IF(H797="x",1)+I797+$M$77+IF(H799="x",1)+IF(J799="x",1)+IF($M$76="x",2)+J797+IF($M$85="x",1)+IF($M$113="x",1)+IF($M$120="x",2)+IF($M$119="x",2)+IF($M$105="x",1)+IF($M$110="x",1)+IF($M$111="x",2)+IF($M$112="x",4)+IF($M$108="x",1)-IF($M$109="x",1)-IF($M$99="x",1)+IF($M$90="x",1)
&amp;"/"&amp;SUM($C$3,$I$3)+IF(H801="x",1)-IF($C$79="x",4)-IF($I$2&lt;I801,2)+$I$16-$B$10+$M$94+IF($C$77="x",2)-IF($C$78="x",4)-IF($I$78="x",1)-IF($I$77="x",2)-IF($I$90="x",2)+IF($I$83="x",2)-IF($C$76="x",4)-$C$112+IF(H797="x",1)+I797+$M$77+IF(H799="x",1)+IF(J799="x",1)+IF($M$76="x",2)+J797+IF($M$85="x",1)+IF($M$113="x",1)+IF($M$120="x",2)+IF($M$119="x",2)+IF($M$105="x",1)+IF($M$110="x",1)+IF($M$111="x",2)+IF($M$112="x",4)+IF($M$108="x",1)-IF($M$109="x",1)-IF($M$99="x",1)+IF($M$90="x",1)-5,
N99&lt;16,SUM($C$3,$I$3)+IF(H801="x",1)-IF($C$79="x",4)-IF($I$2&lt;I801,2)+$I$16-$B$10+$M$94+IF($C$77="x",2)-IF($C$78="x",4)-IF($I$78="x",1)-IF($I$77="x",2)-IF($I$90="x",2)+IF($I$83="x",2)-IF($C$76="x",4)-$C$112+IF(H797="x",1)+I797+$M$77+IF(H799="x",1)+IF(J799="x",1)+IF($M$76="x",2)+J797+IF($M$85="x",1)+IF($M$113="x",1)+IF($M$120="x",2)+IF($M$119="x",2)+IF($M$105="x",1)+IF($M$110="x",1)+IF($M$111="x",2)+IF($M$112="x",4)+IF($M$108="x",1)-IF($M$109="x",1)-IF($M$99="x",1)+IF($M$90="x",1)
&amp;"/"&amp;SUM($C$3,$I$3)+IF(H801="x",1)-IF($C$79="x",4)-IF($I$2&lt;I801,2)+$I$16-$B$10+$M$94+IF($C$77="x",2)-IF($C$78="x",4)-IF($I$78="x",1)-IF($I$77="x",2)-IF($I$90="x",2)+IF($I$83="x",2)-IF($C$76="x",4)-$C$112+IF(H797="x",1)+I797+$M$77+IF(H799="x",1)+IF(J799="x",1)+IF($M$76="x",2)+J797+IF($M$85="x",1)+IF($M$113="x",1)+IF($M$120="x",2)+IF($M$119="x",2)+IF($M$105="x",1)+IF($M$110="x",1)+IF($M$111="x",2)+IF($M$112="x",4)+IF($M$108="x",1)-IF($M$109="x",1)-IF($M$99="x",1)+IF($M$90="x",1)-5
&amp;"/"&amp;SUM($C$3,$I$3)+IF(H801="x",1)-IF($C$79="x",4)-IF($I$2&lt;I801,2)+$I$16-$B$10+$M$94+IF($C$77="x",2)-IF($C$78="x",4)-IF($I$78="x",1)-IF($I$77="x",2)-IF($I$90="x",2)+IF($I$83="x",2)-IF($C$76="x",4)-$C$112+IF(H797="x",1)+I797+$M$77+IF(H799="x",1)+IF(J799="x",1)+IF($M$76="x",2)+J797+IF($M$85="x",1)+IF($M$113="x",1)+IF($M$120="x",2)+IF($M$119="x",2)+IF($M$105="x",1)+IF($M$110="x",1)+IF($M$111="x",2)+IF($M$112="x",4)+IF($M$108="x",1)-IF($M$109="x",1)-IF($M$99="x",1)+IF($M$90="x",1)-10,
N99&gt;=16,SUM($C$3,$I$3)+IF(H801="x",1)-IF($C$79="x",4)-IF($I$2&lt;I801,2)+$I$16-$B$10+$M$94+IF($C$77="x",2)-IF($C$78="x",4)-IF($I$78="x",1)-IF($I$77="x",2)-IF($I$90="x",2)+IF($I$83="x",2)-IF($C$76="x",4)-$C$112+IF(H797="x",1)+I797+$M$77+IF(H799="x",1)+IF(J799="x",1)+IF($M$76="x",2)+J797+IF($M$85="x",1)+IF($M$113="x",1)+IF($M$120="x",2)+IF($M$119="x",2)+IF($M$105="x",1)+IF($M$110="x",1)+IF($M$111="x",2)+IF($M$112="x",4)+IF($M$108="x",1)-IF($M$109="x",1)-IF($M$99="x",1)+IF($M$90="x",1)
&amp;"/"&amp;SUM($C$3,$I$3)+IF(H801="x",1)-IF($C$79="x",4)-IF($I$2&lt;I801,2)+$I$16-$B$10+$M$94+IF($C$77="x",2)-IF($C$78="x",4)-IF($I$78="x",1)-IF($I$77="x",2)-IF($I$90="x",2)+IF($I$83="x",2)-IF($C$76="x",4)-$C$112+IF(H797="x",1)+I797+$M$77+IF(H799="x",1)+IF(J799="x",1)+IF($M$76="x",2)+J797+IF($M$85="x",1)+IF($M$113="x",1)+IF($M$120="x",2)+IF($M$119="x",2)+IF($M$105="x",1)+IF($M$110="x",1)+IF($M$111="x",2)+IF($M$112="x",4)+IF($M$108="x",1)-IF($M$109="x",1)-IF($M$99="x",1)+IF($M$90="x",1)-5
&amp;"/"&amp;SUM($C$3,$I$3)+IF(H801="x",1)-IF($C$79="x",4)-IF($I$2&lt;I801,2)+$I$16-$B$10+$M$94+IF($C$77="x",2)-IF($C$78="x",4)-IF($I$78="x",1)-IF($I$77="x",2)-IF($I$90="x",2)+IF($I$83="x",2)-IF($C$76="x",4)-$C$112+IF(H797="x",1)+I797+$M$77+IF(H799="x",1)+IF(J799="x",1)+IF($M$76="x",2)+J797+IF($M$85="x",1)+IF($M$113="x",1)+IF($M$120="x",2)+IF($M$119="x",2)+IF($M$105="x",1)+IF($M$110="x",1)+IF($M$111="x",2)+IF($M$112="x",4)+IF($M$108="x",1)-IF($M$109="x",1)-IF($M$99="x",1)+IF($M$90="x",1)-10
&amp;"/"&amp;SUM($C$3,$I$3)+IF(H801="x",1)-IF($C$79="x",4)-IF($I$2&lt;I801,2)+$I$16-$B$10+$M$94+IF($C$77="x",2)-IF($C$78="x",4)-IF($I$78="x",1)-IF($I$77="x",2)-IF($I$90="x",2)+IF($I$83="x",2)-IF($C$76="x",4)-$C$112+IF(H797="x",1)+I797+$M$77+IF(H799="x",1)+IF(J799="x",1)+IF($M$76="x",2)+J797+IF($M$85="x",1)+IF($M$113="x",1)+IF($M$120="x",2)+IF($M$119="x",2)+IF($M$105="x",1)+IF($M$110="x",1)+IF($M$111="x",2)+IF($M$112="x",4)+IF($M$108="x",1)-IF($M$109="x",1)-IF($M$99="x",1)+IF($M$90="x",1)-15)</f>
        <v>0</v>
      </c>
      <c r="C797" s="49" t="str">
        <f>_xlfn.IFS($C$7="Minimaalinen","1",$C$7="Taskukokoinen","1n2",$C$7="Hyvin pieni","1n3",$C$7="Pieni","1n4",$C$7="Keskikokoinen","1n6",$C$7="Iso","1n8",$C$7="Valtava","2n6",$C$7="Suunnaton","3n6",$C$7="Giganttinen","4n6")</f>
        <v>1n6</v>
      </c>
      <c r="D797" s="51">
        <f>IF(H801="x",1)+IF(I799="x",2)+I797+K797+IF(K799="x",2)+_xlfn.IFS($I$2&lt;0,$I$2,
I801=0,0,
N16=I801,I801,
N16&lt;I801,$I$2,
N16&gt;I801,I801)</f>
        <v>0</v>
      </c>
      <c r="E797" s="49" t="str">
        <f>_xlfn.IFS($C$7="Minimaalinen","3n2",$C$7="Taskukokoinen","3n3",$C$7="Hyvin pieni","3n4",$C$7="Pieni","3n6",$C$7="Keskikokoinen","3n8",$C$7="Iso","6n6",$C$7="Valtava","9n6",$C$7="Suunnaton","12n6",$C$7="Giganttinen","18n6")</f>
        <v>3n8</v>
      </c>
      <c r="F797" s="82">
        <f>SUM(D797*3)</f>
        <v>0</v>
      </c>
      <c r="G797" s="82" t="str">
        <f>(IF($I$89="x","50 %","")&amp;(IF($C$81="x","20 %",""))&amp;(IF($C$82="x","50 %","")))</f>
        <v/>
      </c>
      <c r="H797" s="28"/>
      <c r="I797" s="17">
        <v>0</v>
      </c>
      <c r="J797" s="17">
        <v>0</v>
      </c>
      <c r="K797" s="17">
        <v>0</v>
      </c>
      <c r="N797" s="15"/>
      <c r="AB797" s="15"/>
      <c r="AC797" s="15"/>
      <c r="AD797" s="15"/>
      <c r="AE797" s="15"/>
      <c r="AF797" s="15"/>
      <c r="AG797" s="15"/>
      <c r="AH797" s="15"/>
      <c r="AI797" s="15"/>
      <c r="AJ797" s="15"/>
      <c r="AK797" s="15"/>
      <c r="AL797" s="15"/>
    </row>
    <row r="798" spans="1:38" x14ac:dyDescent="0.2">
      <c r="A798" s="127">
        <f>A797*2</f>
        <v>140</v>
      </c>
      <c r="B798" s="123">
        <f>_xlfn.IFS($I$85="x","PAINISSA",
N99&lt;6,SUM($C$3,$I$3)+IF(H801="x",1)-IF($C$79="x",4)-IF($I$2&lt;I801,2)-2+$I$16-$B$10+$M$94+IF($C$77="x",2)-IF($C$78="x",4)-IF($I$78="x",1)-IF($I$77="x",2)-IF($I$90="x",2)+IF($I$83="x",2)-IF($C$76="x",4)-$C$112+IF(H797="x",1)+I797+$M$77+IF(H799="x",1)+IF(J799="x",1)+IF($M$76="x",2)+J797+IF($M$85="x",1)+IF($M$113="x",1)+IF($M$120="x",2)+IF($M$119="x",2)+IF($M$105="x",1)+IF($M$110="x",1)+IF($M$111="x",2)+IF($M$112="x",4)+IF($M$108="x",1)-IF($M$109="x",1)-IF($M$99="x",1)+IF($M$90="x",1),
N99&lt;11,SUM($C$3,$I$3)+IF(H801="x",1)-IF($C$79="x",4)-IF($I$2&lt;I801,2)-2+$I$16-$B$10+$M$94+IF($C$77="x",2)-IF($C$78="x",4)-IF($I$78="x",1)-IF($I$77="x",2)-IF($I$90="x",2)+IF($I$83="x",2)-IF($C$76="x",4)-$C$112+IF(H797="x",1)+I797+$M$77+IF(H799="x",1)+IF(J799="x",1)+IF($M$76="x",2)+J797+IF($M$85="x",1)+IF($M$113="x",1)+IF($M$120="x",2)+IF($M$119="x",2)+IF($M$105="x",1)+IF($M$110="x",1)+IF($M$111="x",2)+IF($M$112="x",4)+IF($M$108="x",1)-IF($M$109="x",1)-IF($M$99="x",1)+IF($M$90="x",1)
&amp;"/"&amp;SUM($C$3,$I$3)+IF(H801="x",1)-IF($C$79="x",4)-IF($I$2&lt;I801,2)-2+$I$16-$B$10+$M$94+IF($C$77="x",2)-IF($C$78="x",4)-IF($I$78="x",1)-IF($I$77="x",2)-IF($I$90="x",2)+IF($I$83="x",2)-IF($C$76="x",4)-$C$112+IF(H797="x",1)+I797+$M$77+IF(H799="x",1)+IF(J799="x",1)+IF($M$76="x",2)+J797+IF($M$85="x",1)+IF($M$113="x",1)+IF($M$120="x",2)+IF($M$119="x",2)+IF($M$105="x",1)+IF($M$110="x",1)+IF($M$111="x",2)+IF($M$112="x",4)+IF($M$108="x",1)-IF($M$109="x",1)-IF($M$99="x",1)+IF($M$90="x",1)-5,
N99&lt;16,SUM($C$3,$I$3)+IF(H801="x",1)-IF($C$79="x",4)-IF($I$2&lt;I801,2)-2+$I$16-$B$10+$M$94+IF($C$77="x",2)-IF($C$78="x",4)-IF($I$78="x",1)-IF($I$77="x",2)-IF($I$90="x",2)+IF($I$83="x",2)-IF($C$76="x",4)-$C$112+IF(H797="x",1)+I797+$M$77+IF(H799="x",1)+IF(J799="x",1)+IF($M$76="x",2)+J797+IF($M$85="x",1)+IF($M$113="x",1)+IF($M$120="x",2)+IF($M$119="x",2)+IF($M$105="x",1)+IF($M$110="x",1)+IF($M$111="x",2)+IF($M$112="x",4)+IF($M$108="x",1)-IF($M$109="x",1)-IF($M$99="x",1)+IF($M$90="x",1)
&amp;"/"&amp;SUM($C$3,$I$3)+IF(H801="x",1)-IF($C$79="x",4)-IF($I$2&lt;I801,2)-2+$I$16-$B$10+$M$94+IF($C$77="x",2)-IF($C$78="x",4)-IF($I$78="x",1)-IF($I$77="x",2)-IF($I$90="x",2)+IF($I$83="x",2)-IF($C$76="x",4)-$C$112+IF(H797="x",1)+I797+$M$77+IF(H799="x",1)+IF(J799="x",1)+IF($M$76="x",2)+J797+IF($M$85="x",1)+IF($M$113="x",1)+IF($M$120="x",2)+IF($M$119="x",2)+IF($M$105="x",1)+IF($M$110="x",1)+IF($M$111="x",2)+IF($M$112="x",4)+IF($M$108="x",1)-IF($M$109="x",1)-IF($M$99="x",1)+IF($M$90="x",1)-5
&amp;"/"&amp;SUM($C$3,$I$3)+IF(H801="x",1)-IF($C$79="x",4)-IF($I$2&lt;I801,2)-2+$I$16-$B$10+$M$94+IF($C$77="x",2)-IF($C$78="x",4)-IF($I$78="x",1)-IF($I$77="x",2)-IF($I$90="x",2)+IF($I$83="x",2)-IF($C$76="x",4)-$C$112+IF(H797="x",1)+I797+$M$77+IF(H799="x",1)+IF(J799="x",1)+IF($M$76="x",2)+J797+IF($M$85="x",1)+IF($M$113="x",1)+IF($M$120="x",2)+IF($M$119="x",2)+IF($M$105="x",1)+IF($M$110="x",1)+IF($M$111="x",2)+IF($M$112="x",4)+IF($M$108="x",1)-IF($M$109="x",1)-IF($M$99="x",1)+IF($M$90="x",1)-10,
N99&gt;=16,SUM($C$3,$I$3)+IF(H801="x",1)-IF($C$79="x",4)-IF($I$2&lt;I801,2)-2+$I$16-$B$10+$M$94+IF($C$77="x",2)-IF($C$78="x",4)-IF($I$78="x",1)-IF($I$77="x",2)-IF($I$90="x",2)+IF($I$83="x",2)-IF($C$76="x",4)-$C$112+IF(H797="x",1)+I797+$M$77+IF(H799="x",1)+IF(J799="x",1)+IF($M$76="x",2)+J797+IF($M$85="x",1)+IF($M$113="x",1)+IF($M$120="x",2)+IF($M$119="x",2)+IF($M$105="x",1)+IF($M$110="x",1)+IF($M$111="x",2)+IF($M$112="x",4)+IF($M$108="x",1)-IF($M$109="x",1)-IF($M$99="x",1)+IF($M$90="x",1)
&amp;"/"&amp;SUM($C$3,$I$3)+IF(H801="x",1)-IF($C$79="x",4)-IF($I$2&lt;I801,2)-2+$I$16-$B$10+$M$94+IF($C$77="x",2)-IF($C$78="x",4)-IF($I$78="x",1)-IF($I$77="x",2)-IF($I$90="x",2)+IF($I$83="x",2)-IF($C$76="x",4)-$C$112+IF(H797="x",1)+I797+$M$77+IF(H799="x",1)+IF(J799="x",1)+IF($M$76="x",2)+J797+IF($M$85="x",1)+IF($M$113="x",1)+IF($M$120="x",2)+IF($M$119="x",2)+IF($M$105="x",1)+IF($M$110="x",1)+IF($M$111="x",2)+IF($M$112="x",4)+IF($M$108="x",1)-IF($M$109="x",1)-IF($M$99="x",1)+IF($M$90="x",1)-5
&amp;"/"&amp;SUM($C$3,$I$3)+IF(H801="x",1)-IF($C$79="x",4)-IF($I$2&lt;I801,2)-2+$I$16-$B$10+$M$94+IF($C$77="x",2)-IF($C$78="x",4)-IF($I$78="x",1)-IF($I$77="x",2)-IF($I$90="x",2)+IF($I$83="x",2)-IF($C$76="x",4)-$C$112+IF(H797="x",1)+I797+$M$77+IF(H799="x",1)+IF(J799="x",1)+IF($M$76="x",2)+J797+IF($M$85="x",1)+IF($M$113="x",1)+IF($M$120="x",2)+IF($M$119="x",2)+IF($M$105="x",1)+IF($M$110="x",1)+IF($M$111="x",2)+IF($M$112="x",4)+IF($M$108="x",1)-IF($M$109="x",1)-IF($M$99="x",1)+IF($M$90="x",1)-10
&amp;"/"&amp;SUM($C$3,$I$3)+IF(H801="x",1)-IF($C$79="x",4)-IF($I$2&lt;I801,2)-2+$I$16-$B$10+$M$94+IF($C$77="x",2)-IF($C$78="x",4)-IF($I$78="x",1)-IF($I$77="x",2)-IF($I$90="x",2)+IF($I$83="x",2)-IF($C$76="x",4)-$C$112+IF(H797="x",1)+I797+$M$77+IF(H799="x",1)+IF(J799="x",1)+IF($M$76="x",2)+J797+IF($M$85="x",1)+IF($M$113="x",1)+IF($M$120="x",2)+IF($M$119="x",2)+IF($M$105="x",1)+IF($M$110="x",1)+IF($M$111="x",2)+IF($M$112="x",4)+IF($M$108="x",1)-IF($M$109="x",1)-IF($M$99="x",1)+IF($M$90="x",1)-15)</f>
        <v>-2</v>
      </c>
      <c r="C798" s="82"/>
      <c r="D798" s="121"/>
      <c r="E798" s="82"/>
      <c r="F798" s="82"/>
      <c r="G798" s="82"/>
      <c r="H798" s="14" t="s">
        <v>220</v>
      </c>
      <c r="I798" s="14" t="s">
        <v>221</v>
      </c>
      <c r="J798" s="14" t="s">
        <v>222</v>
      </c>
      <c r="K798" s="14" t="s">
        <v>223</v>
      </c>
      <c r="N798" s="15"/>
      <c r="AB798" s="15"/>
      <c r="AC798" s="15"/>
      <c r="AD798" s="15"/>
      <c r="AE798" s="15"/>
      <c r="AF798" s="15"/>
      <c r="AG798" s="15"/>
      <c r="AH798" s="15"/>
      <c r="AI798" s="15"/>
      <c r="AJ798" s="15"/>
      <c r="AK798" s="15"/>
      <c r="AL798" s="15"/>
    </row>
    <row r="799" spans="1:38" x14ac:dyDescent="0.2">
      <c r="A799" s="126">
        <f>A797*3</f>
        <v>210</v>
      </c>
      <c r="B799" s="121">
        <f>_xlfn.IFS($I$85="x","PAINISSA",
N99&lt;6,SUM($C$3,$I$3)+IF(H801="x",1)-IF($C$79="x",4)-IF($I$2&lt;I801,2)-4+$I$16-$B$10+$M$94+IF($C$77="x",2)-IF($C$78="x",4)-IF($I$78="x",1)-IF($I$77="x",2)-IF($I$90="x",2)+IF($I$83="x",2)-IF($C$76="x",4)-$C$112+IF(H797="x",1)+I797+$M$77+IF(H799="x",1)+IF(J799="x",1)+IF($M$76="x",2)+J797+IF($M$85="x",1)+IF($M$113="x",1)+IF($M$120="x",2)+IF($M$119="x",2)+IF($M$105="x",1)+IF($M$110="x",1)+IF($M$111="x",2)+IF($M$112="x",4)+IF($M$108="x",1)-IF($M$109="x",1)-IF($M$99="x",1)+IF($M$90="x",1),
N99&lt;11,SUM($C$3,$I$3)+IF(H801="x",1)-IF($C$79="x",4)-IF($I$2&lt;I801,2)-4+$I$16-$B$10+$M$94+IF($C$77="x",2)-IF($C$78="x",4)-IF($I$78="x",1)-IF($I$77="x",2)-IF($I$90="x",2)+IF($I$83="x",2)-IF($C$76="x",4)-$C$112+IF(H797="x",1)+I797+$M$77+IF(H799="x",1)+IF(J799="x",1)+IF($M$76="x",2)+J797+IF($M$85="x",1)+IF($M$113="x",1)+IF($M$120="x",2)+IF($M$119="x",2)+IF($M$105="x",1)+IF($M$110="x",1)+IF($M$111="x",2)+IF($M$112="x",4)+IF($M$108="x",1)-IF($M$109="x",1)-IF($M$99="x",1)+IF($M$90="x",1)
&amp;"/"&amp;SUM($C$3,$I$3)+IF(H801="x",1)-IF($C$79="x",4)-IF($I$2&lt;I801,2)-4+$I$16-$B$10+$M$94+IF($C$77="x",2)-IF($C$78="x",4)-IF($I$78="x",1)-IF($I$77="x",2)-IF($I$90="x",2)+IF($I$83="x",2)-IF($C$76="x",4)-$C$112+IF(H797="x",1)+I797+$M$77+IF(H799="x",1)+IF(J799="x",1)+IF($M$76="x",2)+J797+IF($M$85="x",1)+IF($M$113="x",1)+IF($M$120="x",2)+IF($M$119="x",2)+IF($M$105="x",1)+IF($M$110="x",1)+IF($M$111="x",2)+IF($M$112="x",4)+IF($M$108="x",1)-IF($M$109="x",1)-IF($M$99="x",1)+IF($M$90="x",1)-5,
N99&lt;16,SUM($C$3,$I$3)+IF(H801="x",1)-IF($C$79="x",4)-IF($I$2&lt;I801,2)-4+$I$16-$B$10+$M$94+IF($C$77="x",2)-IF($C$78="x",4)-IF($I$78="x",1)-IF($I$77="x",2)-IF($I$90="x",2)+IF($I$83="x",2)-IF($C$76="x",4)-$C$112+IF(H797="x",1)+I797+$M$77+IF(H799="x",1)+IF(J799="x",1)+IF($M$76="x",2)+J797+IF($M$85="x",1)+IF($M$113="x",1)+IF($M$120="x",2)+IF($M$119="x",2)+IF($M$105="x",1)+IF($M$110="x",1)+IF($M$111="x",2)+IF($M$112="x",4)+IF($M$108="x",1)-IF($M$109="x",1)-IF($M$99="x",1)+IF($M$90="x",1)
&amp;"/"&amp;SUM($C$3,$I$3)+IF(H801="x",1)-IF($C$79="x",4)-IF($I$2&lt;I801,2)-4+$I$16-$B$10+$M$94+IF($C$77="x",2)-IF($C$78="x",4)-IF($I$78="x",1)-IF($I$77="x",2)-IF($I$90="x",2)+IF($I$83="x",2)-IF($C$76="x",4)-$C$112+IF(H797="x",1)+I797+$M$77+IF(H799="x",1)+IF(J799="x",1)+IF($M$76="x",2)+J797+IF($M$85="x",1)+IF($M$113="x",1)+IF($M$120="x",2)+IF($M$119="x",2)+IF($M$105="x",1)+IF($M$110="x",1)+IF($M$111="x",2)+IF($M$112="x",4)+IF($M$108="x",1)-IF($M$109="x",1)-IF($M$99="x",1)+IF($M$90="x",1)-5
&amp;"/"&amp;SUM($C$3,$I$3)+IF(H801="x",1)-IF($C$79="x",4)-IF($I$2&lt;I801,2)-4+$I$16-$B$10+$M$94+IF($C$77="x",2)-IF($C$78="x",4)-IF($I$78="x",1)-IF($I$77="x",2)-IF($I$90="x",2)+IF($I$83="x",2)-IF($C$76="x",4)-$C$112+IF(H797="x",1)+I797+$M$77+IF(H799="x",1)+IF(J799="x",1)+IF($M$76="x",2)+J797+IF($M$85="x",1)+IF($M$113="x",1)+IF($M$120="x",2)+IF($M$119="x",2)+IF($M$105="x",1)+IF($M$110="x",1)+IF($M$111="x",2)+IF($M$112="x",4)+IF($M$108="x",1)-IF($M$109="x",1)-IF($M$99="x",1)+IF($M$90="x",1)-10,
N99&gt;=16,SUM($C$3,$I$3)+IF(H801="x",1)-IF($C$79="x",4)-IF($I$2&lt;I801,2)-4+$I$16-$B$10+$M$94+IF($C$77="x",2)-IF($C$78="x",4)-IF($I$78="x",1)-IF($I$77="x",2)-IF($I$90="x",2)+IF($I$83="x",2)-IF($C$76="x",4)-$C$112+IF(H797="x",1)+I797+$M$77+IF(H799="x",1)+IF(J799="x",1)+IF($M$76="x",2)+J797+IF($M$85="x",1)+IF($M$113="x",1)+IF($M$120="x",2)+IF($M$119="x",2)+IF($M$105="x",1)+IF($M$110="x",1)+IF($M$111="x",2)+IF($M$112="x",4)+IF($M$108="x",1)-IF($M$109="x",1)-IF($M$99="x",1)+IF($M$90="x",1)
&amp;"/"&amp;SUM($C$3,$I$3)+IF(H801="x",1)-IF($C$79="x",4)-IF($I$2&lt;I801,2)-4+$I$16-$B$10+$M$94+IF($C$77="x",2)-IF($C$78="x",4)-IF($I$78="x",1)-IF($I$77="x",2)-IF($I$90="x",2)+IF($I$83="x",2)-IF($C$76="x",4)-$C$112+IF(H797="x",1)+I797+$M$77+IF(H799="x",1)+IF(J799="x",1)+IF($M$76="x",2)+J797+IF($M$85="x",1)+IF($M$113="x",1)+IF($M$120="x",2)+IF($M$119="x",2)+IF($M$105="x",1)+IF($M$110="x",1)+IF($M$111="x",2)+IF($M$112="x",4)+IF($M$108="x",1)-IF($M$109="x",1)-IF($M$99="x",1)+IF($M$90="x",1)-5
&amp;"/"&amp;SUM($C$3,$I$3)+IF(H801="x",1)-IF($C$79="x",4)-IF($I$2&lt;I801,2)-4+$I$16-$B$10+$M$94+IF($C$77="x",2)-IF($C$78="x",4)-IF($I$78="x",1)-IF($I$77="x",2)-IF($I$90="x",2)+IF($I$83="x",2)-IF($C$76="x",4)-$C$112+IF(H797="x",1)+I797+$M$77+IF(H799="x",1)+IF(J799="x",1)+IF($M$76="x",2)+J797+IF($M$85="x",1)+IF($M$113="x",1)+IF($M$120="x",2)+IF($M$119="x",2)+IF($M$105="x",1)+IF($M$110="x",1)+IF($M$111="x",2)+IF($M$112="x",4)+IF($M$108="x",1)-IF($M$109="x",1)-IF($M$99="x",1)+IF($M$90="x",1)-10
&amp;"/"&amp;SUM($C$3,$I$3)+IF(H801="x",1)-IF($C$79="x",4)-IF($I$2&lt;I801,2)-4+$I$16-$B$10+$M$94+IF($C$77="x",2)-IF($C$78="x",4)-IF($I$78="x",1)-IF($I$77="x",2)-IF($I$90="x",2)+IF($I$83="x",2)-IF($C$76="x",4)-$C$112+IF(H797="x",1)+I797+$M$77+IF(H799="x",1)+IF(J799="x",1)+IF($M$76="x",2)+J797+IF($M$85="x",1)+IF($M$113="x",1)+IF($M$120="x",2)+IF($M$119="x",2)+IF($M$105="x",1)+IF($M$110="x",1)+IF($M$111="x",2)+IF($M$112="x",4)+IF($M$108="x",1)-IF($M$109="x",1)-IF($M$99="x",1)+IF($M$90="x",1)-15)</f>
        <v>-4</v>
      </c>
      <c r="C799" s="82"/>
      <c r="D799" s="121"/>
      <c r="E799" s="82"/>
      <c r="F799" s="82"/>
      <c r="G799" s="82"/>
      <c r="H799" s="28"/>
      <c r="I799" s="28"/>
      <c r="J799" s="28"/>
      <c r="K799" s="28"/>
      <c r="N799" s="15"/>
      <c r="AB799" s="15"/>
      <c r="AC799" s="15"/>
      <c r="AD799" s="15"/>
      <c r="AE799" s="15"/>
      <c r="AF799" s="15"/>
      <c r="AG799" s="15"/>
      <c r="AH799" s="15"/>
      <c r="AI799" s="15"/>
      <c r="AJ799" s="15"/>
      <c r="AK799" s="15"/>
      <c r="AL799" s="15"/>
    </row>
    <row r="800" spans="1:38" x14ac:dyDescent="0.2">
      <c r="A800" s="127">
        <f>A797*4</f>
        <v>280</v>
      </c>
      <c r="B800" s="123">
        <f>_xlfn.IFS($I$85="x","PAINISSA",
N99&lt;6,SUM($C$3,$I$3)+IF(H801="x",1)-IF($C$79="x",4)-IF($I$2&lt;I801,2)-6+$I$16-$B$10+$M$94+IF($C$77="x",2)-IF($C$78="x",4)-IF($I$78="x",1)-IF($I$77="x",2)-IF($I$90="x",2)+IF($I$83="x",2)-IF($C$76="x",4)-$C$112+IF(H797="x",1)+I797+$M$77+IF(H799="x",1)+IF(J799="x",1)+IF($M$76="x",2)+J797+IF($M$85="x",1)+IF($M$113="x",1)+IF($M$120="x",2)+IF($M$119="x",2)+IF($M$105="x",1)+IF($M$110="x",1)+IF($M$111="x",2)+IF($M$112="x",4)+IF($M$108="x",1)-IF($M$109="x",1)-IF($M$99="x",1)+IF($M$90="x",1),
N99&lt;11,SUM($C$3,$I$3)+IF(H801="x",1)-IF($C$79="x",4)-IF($I$2&lt;I801,2)-6+$I$16-$B$10+$M$94+IF($C$77="x",2)-IF($C$78="x",4)-IF($I$78="x",1)-IF($I$77="x",2)-IF($I$90="x",2)+IF($I$83="x",2)-IF($C$76="x",4)-$C$112+IF(H797="x",1)+I797+$M$77+IF(H799="x",1)+IF(J799="x",1)+IF($M$76="x",2)+J797+IF($M$85="x",1)+IF($M$113="x",1)+IF($M$120="x",2)+IF($M$119="x",2)+IF($M$105="x",1)+IF($M$110="x",1)+IF($M$111="x",2)+IF($M$112="x",4)+IF($M$108="x",1)-IF($M$109="x",1)-IF($M$99="x",1)+IF($M$90="x",1)
&amp;"/"&amp;SUM($C$3,$I$3)+IF(H801="x",1)-IF($C$79="x",4)-IF($I$2&lt;I801,2)-6+$I$16-$B$10+$M$94+IF($C$77="x",2)-IF($C$78="x",4)-IF($I$78="x",1)-IF($I$77="x",2)-IF($I$90="x",2)+IF($I$83="x",2)-IF($C$76="x",4)-$C$112+IF(H797="x",1)+I797+$M$77+IF(H799="x",1)+IF(J799="x",1)+IF($M$76="x",2)+J797+IF($M$85="x",1)+IF($M$113="x",1)+IF($M$120="x",2)+IF($M$119="x",2)+IF($M$105="x",1)+IF($M$110="x",1)+IF($M$111="x",2)+IF($M$112="x",4)+IF($M$108="x",1)-IF($M$109="x",1)-IF($M$99="x",1)+IF($M$90="x",1)-5,
N99&lt;16,SUM($C$3,$I$3)+IF(H801="x",1)-IF($C$79="x",4)-IF($I$2&lt;I801,2)-6+$I$16-$B$10+$M$94+IF($C$77="x",2)-IF($C$78="x",4)-IF($I$78="x",1)-IF($I$77="x",2)-IF($I$90="x",2)+IF($I$83="x",2)-IF($C$76="x",4)-$C$112+IF(H797="x",1)+I797+$M$77+IF(H799="x",1)+IF(J799="x",1)+IF($M$76="x",2)+J797+IF($M$85="x",1)+IF($M$113="x",1)+IF($M$120="x",2)+IF($M$119="x",2)+IF($M$105="x",1)+IF($M$110="x",1)+IF($M$111="x",2)+IF($M$112="x",4)+IF($M$108="x",1)-IF($M$109="x",1)-IF($M$99="x",1)+IF($M$90="x",1)
&amp;"/"&amp;SUM($C$3,$I$3)+IF(H801="x",1)-IF($C$79="x",4)-IF($I$2&lt;I801,2)-6+$I$16-$B$10+$M$94+IF($C$77="x",2)-IF($C$78="x",4)-IF($I$78="x",1)-IF($I$77="x",2)-IF($I$90="x",2)+IF($I$83="x",2)-IF($C$76="x",4)-$C$112+IF(H797="x",1)+I797+$M$77+IF(H799="x",1)+IF(J799="x",1)+IF($M$76="x",2)+J797+IF($M$85="x",1)+IF($M$113="x",1)+IF($M$120="x",2)+IF($M$119="x",2)+IF($M$105="x",1)+IF($M$110="x",1)+IF($M$111="x",2)+IF($M$112="x",4)+IF($M$108="x",1)-IF($M$109="x",1)-IF($M$99="x",1)+IF($M$90="x",1)-5
&amp;"/"&amp;SUM($C$3,$I$3)+IF(H801="x",1)-IF($C$79="x",4)-IF($I$2&lt;I801,2)-6+$I$16-$B$10+$M$94+IF($C$77="x",2)-IF($C$78="x",4)-IF($I$78="x",1)-IF($I$77="x",2)-IF($I$90="x",2)+IF($I$83="x",2)-IF($C$76="x",4)-$C$112+IF(H797="x",1)+I797+$M$77+IF(H799="x",1)+IF(J799="x",1)+IF($M$76="x",2)+J797+IF($M$85="x",1)+IF($M$113="x",1)+IF($M$120="x",2)+IF($M$119="x",2)+IF($M$105="x",1)+IF($M$110="x",1)+IF($M$111="x",2)+IF($M$112="x",4)+IF($M$108="x",1)-IF($M$109="x",1)-IF($M$99="x",1)+IF($M$90="x",1)-10,
N99&gt;=16,SUM($C$3,$I$3)+IF(H801="x",1)-IF($C$79="x",4)-IF($I$2&lt;I801,2)-6+$I$16-$B$10+$M$94+IF($C$77="x",2)-IF($C$78="x",4)-IF($I$78="x",1)-IF($I$77="x",2)-IF($I$90="x",2)+IF($I$83="x",2)-IF($C$76="x",4)-$C$112+IF(H797="x",1)+I797+$M$77+IF(H799="x",1)+IF(J799="x",1)+IF($M$76="x",2)+J797+IF($M$85="x",1)+IF($M$113="x",1)+IF($M$120="x",2)+IF($M$119="x",2)+IF($M$105="x",1)+IF($M$110="x",1)+IF($M$111="x",2)+IF($M$112="x",4)+IF($M$108="x",1)-IF($M$109="x",1)-IF($M$99="x",1)+IF($M$90="x",1)
&amp;"/"&amp;SUM($C$3,$I$3)+IF(H801="x",1)-IF($C$79="x",4)-IF($I$2&lt;I801,2)-6+$I$16-$B$10+$M$94+IF($C$77="x",2)-IF($C$78="x",4)-IF($I$78="x",1)-IF($I$77="x",2)-IF($I$90="x",2)+IF($I$83="x",2)-IF($C$76="x",4)-$C$112+IF(H797="x",1)+I797+$M$77+IF(H799="x",1)+IF(J799="x",1)+IF($M$76="x",2)+J797+IF($M$85="x",1)+IF($M$113="x",1)+IF($M$120="x",2)+IF($M$119="x",2)+IF($M$105="x",1)+IF($M$110="x",1)+IF($M$111="x",2)+IF($M$112="x",4)+IF($M$108="x",1)-IF($M$109="x",1)-IF($M$99="x",1)+IF($M$90="x",1)-5
&amp;"/"&amp;SUM($C$3,$I$3)+IF(H801="x",1)-IF($C$79="x",4)-IF($I$2&lt;I801,2)-6+$I$16-$B$10+$M$94+IF($C$77="x",2)-IF($C$78="x",4)-IF($I$78="x",1)-IF($I$77="x",2)-IF($I$90="x",2)+IF($I$83="x",2)-IF($C$76="x",4)-$C$112+IF(H797="x",1)+I797+$M$77+IF(H799="x",1)+IF(J799="x",1)+IF($M$76="x",2)+J797+IF($M$85="x",1)+IF($M$113="x",1)+IF($M$120="x",2)+IF($M$119="x",2)+IF($M$105="x",1)+IF($M$110="x",1)+IF($M$111="x",2)+IF($M$112="x",4)+IF($M$108="x",1)-IF($M$109="x",1)-IF($M$99="x",1)+IF($M$90="x",1)-10
&amp;"/"&amp;SUM($C$3,$I$3)+IF(H801="x",1)-IF($C$79="x",4)-IF($I$2&lt;I801,2)-6+$I$16-$B$10+$M$94+IF($C$77="x",2)-IF($C$78="x",4)-IF($I$78="x",1)-IF($I$77="x",2)-IF($I$90="x",2)+IF($I$83="x",2)-IF($C$76="x",4)-$C$112+IF(H797="x",1)+I797+$M$77+IF(H799="x",1)+IF(J799="x",1)+IF($M$76="x",2)+J797+IF($M$85="x",1)+IF($M$113="x",1)+IF($M$120="x",2)+IF($M$119="x",2)+IF($M$105="x",1)+IF($M$110="x",1)+IF($M$111="x",2)+IF($M$112="x",4)+IF($M$108="x",1)-IF($M$109="x",1)-IF($M$99="x",1)+IF($M$90="x",1)-15)</f>
        <v>-6</v>
      </c>
      <c r="C800" s="82"/>
      <c r="D800" s="121"/>
      <c r="E800" s="82"/>
      <c r="F800" s="82"/>
      <c r="G800" s="82"/>
      <c r="H800" s="14" t="s">
        <v>182</v>
      </c>
      <c r="I800" s="11" t="s">
        <v>228</v>
      </c>
      <c r="N800" s="15"/>
      <c r="AB800" s="15"/>
      <c r="AC800" s="15"/>
      <c r="AD800" s="15"/>
      <c r="AE800" s="15"/>
      <c r="AF800" s="15"/>
      <c r="AG800" s="15"/>
      <c r="AH800" s="15"/>
      <c r="AI800" s="15"/>
      <c r="AJ800" s="15"/>
      <c r="AK800" s="15"/>
      <c r="AL800" s="15"/>
    </row>
    <row r="801" spans="1:38" x14ac:dyDescent="0.2">
      <c r="A801" s="126">
        <f>A797*5</f>
        <v>350</v>
      </c>
      <c r="B801" s="121">
        <f>_xlfn.IFS($I$85="x","PAINISSA",
N99&lt;6,SUM($C$3,$I$3)+IF(H801="x",1)-IF($C$79="x",4)-IF($I$2&lt;I801,2)-8+$I$16-$B$10+$M$94+IF($C$77="x",2)-IF($C$78="x",4)-IF($I$78="x",1)-IF($I$77="x",2)-IF($I$90="x",2)+IF($I$83="x",2)-IF($C$76="x",4)-$C$112+IF(H797="x",1)+I797+$M$77+IF(H799="x",1)+IF(J799="x",1)+IF($M$76="x",2)+J797+IF($M$85="x",1)+IF($M$113="x",1)+IF($M$120="x",2)+IF($M$119="x",2)+IF($M$105="x",1)+IF($M$110="x",1)+IF($M$111="x",2)+IF($M$112="x",4)+IF($M$108="x",1)-IF($M$109="x",1)-IF($M$99="x",1)+IF($M$90="x",1),
N99&lt;11,SUM($C$3,$I$3)+IF(H801="x",1)-IF($C$79="x",4)-IF($I$2&lt;I801,2)-8+$I$16-$B$10+$M$94+IF($C$77="x",2)-IF($C$78="x",4)-IF($I$78="x",1)-IF($I$77="x",2)-IF($I$90="x",2)+IF($I$83="x",2)-IF($C$76="x",4)-$C$112+IF(H797="x",1)+I797+$M$77+IF(H799="x",1)+IF(J799="x",1)+IF($M$76="x",2)+J797+IF($M$85="x",1)+IF($M$113="x",1)+IF($M$120="x",2)+IF($M$119="x",2)+IF($M$105="x",1)+IF($M$110="x",1)+IF($M$111="x",2)+IF($M$112="x",4)+IF($M$108="x",1)-IF($M$109="x",1)-IF($M$99="x",1)+IF($M$90="x",1)
&amp;"/"&amp;SUM($C$3,$I$3)+IF(H801="x",1)-IF($C$79="x",4)-IF($I$2&lt;I801,2)-8+$I$16-$B$10+$M$94+IF($C$77="x",2)-IF($C$78="x",4)-IF($I$78="x",1)-IF($I$77="x",2)-IF($I$90="x",2)+IF($I$83="x",2)-IF($C$76="x",4)-$C$112+IF(H797="x",1)+I797+$M$77+IF(H799="x",1)+IF(J799="x",1)+IF($M$76="x",2)+J797+IF($M$85="x",1)+IF($M$113="x",1)+IF($M$120="x",2)+IF($M$119="x",2)+IF($M$105="x",1)+IF($M$110="x",1)+IF($M$111="x",2)+IF($M$112="x",4)+IF($M$108="x",1)-IF($M$109="x",1)-IF($M$99="x",1)+IF($M$90="x",1)-5,
N99&lt;16,SUM($C$3,$I$3)+IF(H801="x",1)-IF($C$79="x",4)-IF($I$2&lt;I801,2)-8+$I$16-$B$10+$M$94+IF($C$77="x",2)-IF($C$78="x",4)-IF($I$78="x",1)-IF($I$77="x",2)-IF($I$90="x",2)+IF($I$83="x",2)-IF($C$76="x",4)-$C$112+IF(H797="x",1)+I797+$M$77+IF(H799="x",1)+IF(J799="x",1)+IF($M$76="x",2)+J797+IF($M$85="x",1)+IF($M$113="x",1)+IF($M$120="x",2)+IF($M$119="x",2)+IF($M$105="x",1)+IF($M$110="x",1)+IF($M$111="x",2)+IF($M$112="x",4)+IF($M$108="x",1)-IF($M$109="x",1)-IF($M$99="x",1)+IF($M$90="x",1)
&amp;"/"&amp;SUM($C$3,$I$3)+IF(H801="x",1)-IF($C$79="x",4)-IF($I$2&lt;I801,2)-8+$I$16-$B$10+$M$94+IF($C$77="x",2)-IF($C$78="x",4)-IF($I$78="x",1)-IF($I$77="x",2)-IF($I$90="x",2)+IF($I$83="x",2)-IF($C$76="x",4)-$C$112+IF(H797="x",1)+I797+$M$77+IF(H799="x",1)+IF(J799="x",1)+IF($M$76="x",2)+J797+IF($M$85="x",1)+IF($M$113="x",1)+IF($M$120="x",2)+IF($M$119="x",2)+IF($M$105="x",1)+IF($M$110="x",1)+IF($M$111="x",2)+IF($M$112="x",4)+IF($M$108="x",1)-IF($M$109="x",1)-IF($M$99="x",1)+IF($M$90="x",1)-5
&amp;"/"&amp;SUM($C$3,$I$3)+IF(H801="x",1)-IF($C$79="x",4)-IF($I$2&lt;I801,2)-8+$I$16-$B$10+$M$94+IF($C$77="x",2)-IF($C$78="x",4)-IF($I$78="x",1)-IF($I$77="x",2)-IF($I$90="x",2)+IF($I$83="x",2)-IF($C$76="x",4)-$C$112+IF(H797="x",1)+I797+$M$77+IF(H799="x",1)+IF(J799="x",1)+IF($M$76="x",2)+J797+IF($M$85="x",1)+IF($M$113="x",1)+IF($M$120="x",2)+IF($M$119="x",2)+IF($M$105="x",1)+IF($M$110="x",1)+IF($M$111="x",2)+IF($M$112="x",4)+IF($M$108="x",1)-IF($M$109="x",1)-IF($M$99="x",1)+IF($M$90="x",1)-10,
N99&gt;=16,SUM($C$3,$I$3)+IF(H801="x",1)-IF($C$79="x",4)-IF($I$2&lt;I801,2)-8+$I$16-$B$10+$M$94+IF($C$77="x",2)-IF($C$78="x",4)-IF($I$78="x",1)-IF($I$77="x",2)-IF($I$90="x",2)+IF($I$83="x",2)-IF($C$76="x",4)-$C$112+IF(H797="x",1)+I797+$M$77+IF(H799="x",1)+IF(J799="x",1)+IF($M$76="x",2)+J797+IF($M$85="x",1)+IF($M$113="x",1)+IF($M$120="x",2)+IF($M$119="x",2)+IF($M$105="x",1)+IF($M$110="x",1)+IF($M$111="x",2)+IF($M$112="x",4)+IF($M$108="x",1)-IF($M$109="x",1)-IF($M$99="x",1)+IF($M$90="x",1)
&amp;"/"&amp;SUM($C$3,$I$3)+IF(H801="x",1)-IF($C$79="x",4)-IF($I$2&lt;I801,2)-8+$I$16-$B$10+$M$94+IF($C$77="x",2)-IF($C$78="x",4)-IF($I$78="x",1)-IF($I$77="x",2)-IF($I$90="x",2)+IF($I$83="x",2)-IF($C$76="x",4)-$C$112+IF(H797="x",1)+I797+$M$77+IF(H799="x",1)+IF(J799="x",1)+IF($M$76="x",2)+J797+IF($M$85="x",1)+IF($M$113="x",1)+IF($M$120="x",2)+IF($M$119="x",2)+IF($M$105="x",1)+IF($M$110="x",1)+IF($M$111="x",2)+IF($M$112="x",4)+IF($M$108="x",1)-IF($M$109="x",1)-IF($M$99="x",1)+IF($M$90="x",1)-5
&amp;"/"&amp;SUM($C$3,$I$3)+IF(H801="x",1)-IF($C$79="x",4)-IF($I$2&lt;I801,2)-8+$I$16-$B$10+$M$94+IF($C$77="x",2)-IF($C$78="x",4)-IF($I$78="x",1)-IF($I$77="x",2)-IF($I$90="x",2)+IF($I$83="x",2)-IF($C$76="x",4)-$C$112+IF(H797="x",1)+I797+$M$77+IF(H799="x",1)+IF(J799="x",1)+IF($M$76="x",2)+J797+IF($M$85="x",1)+IF($M$113="x",1)+IF($M$120="x",2)+IF($M$119="x",2)+IF($M$105="x",1)+IF($M$110="x",1)+IF($M$111="x",2)+IF($M$112="x",4)+IF($M$108="x",1)-IF($M$109="x",1)-IF($M$99="x",1)+IF($M$90="x",1)-10
&amp;"/"&amp;SUM($C$3,$I$3)+IF(H801="x",1)-IF($C$79="x",4)-IF($I$2&lt;I801,2)-8+$I$16-$B$10+$M$94+IF($C$77="x",2)-IF($C$78="x",4)-IF($I$78="x",1)-IF($I$77="x",2)-IF($I$90="x",2)+IF($I$83="x",2)-IF($C$76="x",4)-$C$112+IF(H797="x",1)+I797+$M$77+IF(H799="x",1)+IF(J799="x",1)+IF($M$76="x",2)+J797+IF($M$85="x",1)+IF($M$113="x",1)+IF($M$120="x",2)+IF($M$119="x",2)+IF($M$105="x",1)+IF($M$110="x",1)+IF($M$111="x",2)+IF($M$112="x",4)+IF($M$108="x",1)-IF($M$109="x",1)-IF($M$99="x",1)+IF($M$90="x",1)-15)</f>
        <v>-8</v>
      </c>
      <c r="C801" s="82"/>
      <c r="D801" s="121"/>
      <c r="E801" s="82"/>
      <c r="F801" s="82"/>
      <c r="G801" s="82"/>
      <c r="H801" s="28"/>
      <c r="I801" s="17">
        <v>0</v>
      </c>
      <c r="K801" s="25"/>
      <c r="N801" s="15"/>
      <c r="AB801" s="15"/>
      <c r="AC801" s="15"/>
      <c r="AD801" s="15"/>
      <c r="AE801" s="15"/>
      <c r="AF801" s="15"/>
      <c r="AG801" s="15"/>
      <c r="AH801" s="15"/>
      <c r="AI801" s="15"/>
      <c r="AJ801" s="15"/>
      <c r="AK801" s="15"/>
      <c r="AL801" s="15"/>
    </row>
    <row r="802" spans="1:38" x14ac:dyDescent="0.2">
      <c r="A802" s="127">
        <f>A797*6</f>
        <v>420</v>
      </c>
      <c r="B802" s="123">
        <f>_xlfn.IFS($I$85="x","PAINISSA",
N99&lt;6,SUM($C$3,$I$3)+IF(H801="x",1)-IF($C$79="x",4)-IF($I$2&lt;I801,2)-10+$I$16-$B$10+$M$94+IF($C$77="x",2)-IF($C$78="x",4)-IF($I$78="x",1)-IF($I$77="x",2)-IF($I$90="x",2)+IF($I$83="x",2)-IF($C$76="x",4)-$C$112+IF(H797="x",1)+I797+$M$77+IF(H799="x",1)+IF(J799="x",1)+IF($M$76="x",2)+J797+IF($M$85="x",1)+IF($M$113="x",1)+IF($M$120="x",2)+IF($M$119="x",2)+IF($M$105="x",1)+IF($M$110="x",1)+IF($M$111="x",2)+IF($M$112="x",4)+IF($M$108="x",1)-IF($M$109="x",1)-IF($M$99="x",1)+IF($M$90="x",1),
N99&lt;11,SUM($C$3,$I$3)+IF(H801="x",1)-IF($C$79="x",4)-IF($I$2&lt;I801,2)-10+$I$16-$B$10+$M$94+IF($C$77="x",2)-IF($C$78="x",4)-IF($I$78="x",1)-IF($I$77="x",2)-IF($I$90="x",2)+IF($I$83="x",2)-IF($C$76="x",4)-$C$112+IF(H797="x",1)+I797+$M$77+IF(H799="x",1)+IF(J799="x",1)+IF($M$76="x",2)+J797+IF($M$85="x",1)+IF($M$113="x",1)+IF($M$120="x",2)+IF($M$119="x",2)+IF($M$105="x",1)+IF($M$110="x",1)+IF($M$111="x",2)+IF($M$112="x",4)+IF($M$108="x",1)-IF($M$109="x",1)-IF($M$99="x",1)+IF($M$90="x",1)
&amp;"/"&amp;SUM($C$3,$I$3)+IF(H801="x",1)-IF($C$79="x",4)-IF($I$2&lt;I801,2)-10+$I$16-$B$10+$M$94+IF($C$77="x",2)-IF($C$78="x",4)-IF($I$78="x",1)-IF($I$77="x",2)-IF($I$90="x",2)+IF($I$83="x",2)-IF($C$76="x",4)-$C$112+IF(H797="x",1)+I797+$M$77+IF(H799="x",1)+IF(J799="x",1)+IF($M$76="x",2)+J797+IF($M$85="x",1)+IF($M$113="x",1)+IF($M$120="x",2)+IF($M$119="x",2)+IF($M$105="x",1)+IF($M$110="x",1)+IF($M$111="x",2)+IF($M$112="x",4)+IF($M$108="x",1)-IF($M$109="x",1)-IF($M$99="x",1)+IF($M$90="x",1)-5,
N99&lt;16,SUM($C$3,$I$3)+IF(H801="x",1)-IF($C$79="x",4)-IF($I$2&lt;I801,2)-10+$I$16-$B$10+$M$94+IF($C$77="x",2)-IF($C$78="x",4)-IF($I$78="x",1)-IF($I$77="x",2)-IF($I$90="x",2)+IF($I$83="x",2)-IF($C$76="x",4)-$C$112+IF(H797="x",1)+I797+$M$77+IF(H799="x",1)+IF(J799="x",1)+IF($M$76="x",2)+J797+IF($M$85="x",1)+IF($M$113="x",1)+IF($M$120="x",2)+IF($M$119="x",2)+IF($M$105="x",1)+IF($M$110="x",1)+IF($M$111="x",2)+IF($M$112="x",4)+IF($M$108="x",1)-IF($M$109="x",1)-IF($M$99="x",1)+IF($M$90="x",1)
&amp;"/"&amp;SUM($C$3,$I$3)+IF(H801="x",1)-IF($C$79="x",4)-IF($I$2&lt;I801,2)-10+$I$16-$B$10+$M$94+IF($C$77="x",2)-IF($C$78="x",4)-IF($I$78="x",1)-IF($I$77="x",2)-IF($I$90="x",2)+IF($I$83="x",2)-IF($C$76="x",4)-$C$112+IF(H797="x",1)+I797+$M$77+IF(H799="x",1)+IF(J799="x",1)+IF($M$76="x",2)+J797+IF($M$85="x",1)+IF($M$113="x",1)+IF($M$120="x",2)+IF($M$119="x",2)+IF($M$105="x",1)+IF($M$110="x",1)+IF($M$111="x",2)+IF($M$112="x",4)+IF($M$108="x",1)-IF($M$109="x",1)-IF($M$99="x",1)+IF($M$90="x",1)-5
&amp;"/"&amp;SUM($C$3,$I$3)+IF(H801="x",1)-IF($C$79="x",4)-IF($I$2&lt;I801,2)-10+$I$16-$B$10+$M$94+IF($C$77="x",2)-IF($C$78="x",4)-IF($I$78="x",1)-IF($I$77="x",2)-IF($I$90="x",2)+IF($I$83="x",2)-IF($C$76="x",4)-$C$112+IF(H797="x",1)+I797+$M$77+IF(H799="x",1)+IF(J799="x",1)+IF($M$76="x",2)+J797+IF($M$85="x",1)+IF($M$113="x",1)+IF($M$120="x",2)+IF($M$119="x",2)+IF($M$105="x",1)+IF($M$110="x",1)+IF($M$111="x",2)+IF($M$112="x",4)+IF($M$108="x",1)-IF($M$109="x",1)-IF($M$99="x",1)+IF($M$90="x",1)-10,
N99&gt;=16,SUM($C$3,$I$3)+IF(H801="x",1)-IF($C$79="x",4)-IF($I$2&lt;I801,2)-10+$I$16-$B$10+$M$94+IF($C$77="x",2)-IF($C$78="x",4)-IF($I$78="x",1)-IF($I$77="x",2)-IF($I$90="x",2)+IF($I$83="x",2)-IF($C$76="x",4)-$C$112+IF(H797="x",1)+I797+$M$77+IF(H799="x",1)+IF(J799="x",1)+IF($M$76="x",2)+J797+IF($M$85="x",1)+IF($M$113="x",1)+IF($M$120="x",2)+IF($M$119="x",2)+IF($M$105="x",1)+IF($M$110="x",1)+IF($M$111="x",2)+IF($M$112="x",4)+IF($M$108="x",1)-IF($M$109="x",1)-IF($M$99="x",1)+IF($M$90="x",1)
&amp;"/"&amp;SUM($C$3,$I$3)+IF(H801="x",1)-IF($C$79="x",4)-IF($I$2&lt;I801,2)-10+$I$16-$B$10+$M$94+IF($C$77="x",2)-IF($C$78="x",4)-IF($I$78="x",1)-IF($I$77="x",2)-IF($I$90="x",2)+IF($I$83="x",2)-IF($C$76="x",4)-$C$112+IF(H797="x",1)+I797+$M$77+IF(H799="x",1)+IF(J799="x",1)+IF($M$76="x",2)+J797+IF($M$85="x",1)+IF($M$113="x",1)+IF($M$120="x",2)+IF($M$119="x",2)+IF($M$105="x",1)+IF($M$110="x",1)+IF($M$111="x",2)+IF($M$112="x",4)+IF($M$108="x",1)-IF($M$109="x",1)-IF($M$99="x",1)+IF($M$90="x",1)-5
&amp;"/"&amp;SUM($C$3,$I$3)+IF(H801="x",1)-IF($C$79="x",4)-IF($I$2&lt;I801,2)-10+$I$16-$B$10+$M$94+IF($C$77="x",2)-IF($C$78="x",4)-IF($I$78="x",1)-IF($I$77="x",2)-IF($I$90="x",2)+IF($I$83="x",2)-IF($C$76="x",4)-$C$112+IF(H797="x",1)+I797+$M$77+IF(H799="x",1)+IF(J799="x",1)+IF($M$76="x",2)+J797+IF($M$85="x",1)+IF($M$113="x",1)+IF($M$120="x",2)+IF($M$119="x",2)+IF($M$105="x",1)+IF($M$110="x",1)+IF($M$111="x",2)+IF($M$112="x",4)+IF($M$108="x",1)-IF($M$109="x",1)-IF($M$99="x",1)+IF($M$90="x",1)-10
&amp;"/"&amp;SUM($C$3,$I$3)+IF(H801="x",1)-IF($C$79="x",4)-IF($I$2&lt;I801,2)-10+$I$16-$B$10+$M$94+IF($C$77="x",2)-IF($C$78="x",4)-IF($I$78="x",1)-IF($I$77="x",2)-IF($I$90="x",2)+IF($I$83="x",2)-IF($C$76="x",4)-$C$112+IF(H797="x",1)+I797+$M$77+IF(H799="x",1)+IF(J799="x",1)+IF($M$76="x",2)+J797+IF($M$85="x",1)+IF($M$113="x",1)+IF($M$120="x",2)+IF($M$119="x",2)+IF($M$105="x",1)+IF($M$110="x",1)+IF($M$111="x",2)+IF($M$112="x",4)+IF($M$108="x",1)-IF($M$109="x",1)-IF($M$99="x",1)+IF($M$90="x",1)-15)</f>
        <v>-10</v>
      </c>
      <c r="C802" s="82"/>
      <c r="D802" s="121"/>
      <c r="E802" s="82"/>
      <c r="F802" s="82"/>
      <c r="G802" s="82"/>
      <c r="H802" s="82"/>
      <c r="I802" s="25"/>
      <c r="J802" s="64"/>
      <c r="K802" s="64"/>
      <c r="N802" s="15"/>
      <c r="AB802" s="15"/>
      <c r="AC802" s="15"/>
      <c r="AD802" s="15"/>
      <c r="AE802" s="15"/>
      <c r="AF802" s="15"/>
      <c r="AG802" s="15"/>
      <c r="AH802" s="15"/>
      <c r="AI802" s="15"/>
      <c r="AJ802" s="15"/>
      <c r="AK802" s="15"/>
      <c r="AL802" s="15"/>
    </row>
    <row r="803" spans="1:38" x14ac:dyDescent="0.2">
      <c r="A803" s="126">
        <f>A797*7</f>
        <v>490</v>
      </c>
      <c r="B803" s="121">
        <f>_xlfn.IFS($I$85="x","PAINISSA",
N99&lt;6,SUM($C$3,$I$3)+IF(H801="x",1)-IF($C$79="x",4)-IF($I$2&lt;I801,2)-12+$I$16-$B$10+$M$94+IF($C$77="x",2)-IF($C$78="x",4)-IF($I$78="x",1)-IF($I$77="x",2)-IF($I$90="x",2)+IF($I$83="x",2)-IF($C$76="x",4)-$C$112+IF(H797="x",1)+I797+$M$77+IF(H799="x",1)+IF(J799="x",1)+IF($M$76="x",2)+J797+IF($M$85="x",1)+IF($M$113="x",1)+IF($M$120="x",2)+IF($M$119="x",2)+IF($M$105="x",1)+IF($M$110="x",1)+IF($M$111="x",2)+IF($M$112="x",4)+IF($M$108="x",1)-IF($M$109="x",1)-IF($M$99="x",1)+IF($M$90="x",1),
N99&lt;11,SUM($C$3,$I$3)+IF(H801="x",1)-IF($C$79="x",4)-IF($I$2&lt;I801,2)-12+$I$16-$B$10+$M$94+IF($C$77="x",2)-IF($C$78="x",4)-IF($I$78="x",1)-IF($I$77="x",2)-IF($I$90="x",2)+IF($I$83="x",2)-IF($C$76="x",4)-$C$112+IF(H797="x",1)+I797+$M$77+IF(H799="x",1)+IF(J799="x",1)+IF($M$76="x",2)+J797+IF($M$85="x",1)+IF($M$113="x",1)+IF($M$120="x",2)+IF($M$119="x",2)+IF($M$105="x",1)+IF($M$110="x",1)+IF($M$111="x",2)+IF($M$112="x",4)+IF($M$108="x",1)-IF($M$109="x",1)-IF($M$99="x",1)+IF($M$90="x",1)
&amp;"/"&amp;SUM($C$3,$I$3)+IF(H801="x",1)-IF($C$79="x",4)-IF($I$2&lt;I801,2)-12+$I$16-$B$10+$M$94+IF($C$77="x",2)-IF($C$78="x",4)-IF($I$78="x",1)-IF($I$77="x",2)-IF($I$90="x",2)+IF($I$83="x",2)-IF($C$76="x",4)-$C$112+IF(H797="x",1)+I797+$M$77+IF(H799="x",1)+IF(J799="x",1)+IF($M$76="x",2)+J797+IF($M$85="x",1)+IF($M$113="x",1)+IF($M$120="x",2)+IF($M$119="x",2)+IF($M$105="x",1)+IF($M$110="x",1)+IF($M$111="x",2)+IF($M$112="x",4)+IF($M$108="x",1)-IF($M$109="x",1)-IF($M$99="x",1)+IF($M$90="x",1)-5,
N99&lt;16,SUM($C$3,$I$3)+IF(H801="x",1)-IF($C$79="x",4)-IF($I$2&lt;I801,2)-12+$I$16-$B$10+$M$94+IF($C$77="x",2)-IF($C$78="x",4)-IF($I$78="x",1)-IF($I$77="x",2)-IF($I$90="x",2)+IF($I$83="x",2)-IF($C$76="x",4)-$C$112+IF(H797="x",1)+I797+$M$77+IF(H799="x",1)+IF(J799="x",1)+IF($M$76="x",2)+J797+IF($M$85="x",1)+IF($M$113="x",1)+IF($M$120="x",2)+IF($M$119="x",2)+IF($M$105="x",1)+IF($M$110="x",1)+IF($M$111="x",2)+IF($M$112="x",4)+IF($M$108="x",1)-IF($M$109="x",1)-IF($M$99="x",1)+IF($M$90="x",1)
&amp;"/"&amp;SUM($C$3,$I$3)+IF(H801="x",1)-IF($C$79="x",4)-IF($I$2&lt;I801,2)-12+$I$16-$B$10+$M$94+IF($C$77="x",2)-IF($C$78="x",4)-IF($I$78="x",1)-IF($I$77="x",2)-IF($I$90="x",2)+IF($I$83="x",2)-IF($C$76="x",4)-$C$112+IF(H797="x",1)+I797+$M$77+IF(H799="x",1)+IF(J799="x",1)+IF($M$76="x",2)+J797+IF($M$85="x",1)+IF($M$113="x",1)+IF($M$120="x",2)+IF($M$119="x",2)+IF($M$105="x",1)+IF($M$110="x",1)+IF($M$111="x",2)+IF($M$112="x",4)+IF($M$108="x",1)-IF($M$109="x",1)-IF($M$99="x",1)+IF($M$90="x",1)-5
&amp;"/"&amp;SUM($C$3,$I$3)+IF(H801="x",1)-IF($C$79="x",4)-IF($I$2&lt;I801,2)-12+$I$16-$B$10+$M$94+IF($C$77="x",2)-IF($C$78="x",4)-IF($I$78="x",1)-IF($I$77="x",2)-IF($I$90="x",2)+IF($I$83="x",2)-IF($C$76="x",4)-$C$112+IF(H797="x",1)+I797+$M$77+IF(H799="x",1)+IF(J799="x",1)+IF($M$76="x",2)+J797+IF($M$85="x",1)+IF($M$113="x",1)+IF($M$120="x",2)+IF($M$119="x",2)+IF($M$105="x",1)+IF($M$110="x",1)+IF($M$111="x",2)+IF($M$112="x",4)+IF($M$108="x",1)-IF($M$109="x",1)-IF($M$99="x",1)+IF($M$90="x",1)-10,
N99&gt;=16,SUM($C$3,$I$3)+IF(H801="x",1)-IF($C$79="x",4)-IF($I$2&lt;I801,2)-12+$I$16-$B$10+$M$94+IF($C$77="x",2)-IF($C$78="x",4)-IF($I$78="x",1)-IF($I$77="x",2)-IF($I$90="x",2)+IF($I$83="x",2)-IF($C$76="x",4)-$C$112+IF(H797="x",1)+I797+$M$77+IF(H799="x",1)+IF(J799="x",1)+IF($M$76="x",2)+J797+IF($M$85="x",1)+IF($M$113="x",1)+IF($M$120="x",2)+IF($M$119="x",2)+IF($M$105="x",1)+IF($M$110="x",1)+IF($M$111="x",2)+IF($M$112="x",4)+IF($M$108="x",1)-IF($M$109="x",1)-IF($M$99="x",1)+IF($M$90="x",1)
&amp;"/"&amp;SUM($C$3,$I$3)+IF(H801="x",1)-IF($C$79="x",4)-IF($I$2&lt;I801,2)-12+$I$16-$B$10+$M$94+IF($C$77="x",2)-IF($C$78="x",4)-IF($I$78="x",1)-IF($I$77="x",2)-IF($I$90="x",2)+IF($I$83="x",2)-IF($C$76="x",4)-$C$112+IF(H797="x",1)+I797+$M$77+IF(H799="x",1)+IF(J799="x",1)+IF($M$76="x",2)+J797+IF($M$85="x",1)+IF($M$113="x",1)+IF($M$120="x",2)+IF($M$119="x",2)+IF($M$105="x",1)+IF($M$110="x",1)+IF($M$111="x",2)+IF($M$112="x",4)+IF($M$108="x",1)-IF($M$109="x",1)-IF($M$99="x",1)+IF($M$90="x",1)-5
&amp;"/"&amp;SUM($C$3,$I$3)+IF(H801="x",1)-IF($C$79="x",4)-IF($I$2&lt;I801,2)-12+$I$16-$B$10+$M$94+IF($C$77="x",2)-IF($C$78="x",4)-IF($I$78="x",1)-IF($I$77="x",2)-IF($I$90="x",2)+IF($I$83="x",2)-IF($C$76="x",4)-$C$112+IF(H797="x",1)+I797+$M$77+IF(H799="x",1)+IF(J799="x",1)+IF($M$76="x",2)+J797+IF($M$85="x",1)+IF($M$113="x",1)+IF($M$120="x",2)+IF($M$119="x",2)+IF($M$105="x",1)+IF($M$110="x",1)+IF($M$111="x",2)+IF($M$112="x",4)+IF($M$108="x",1)-IF($M$109="x",1)-IF($M$99="x",1)+IF($M$90="x",1)-10
&amp;"/"&amp;SUM($C$3,$I$3)+IF(H801="x",1)-IF($C$79="x",4)-IF($I$2&lt;I801,2)-12+$I$16-$B$10+$M$94+IF($C$77="x",2)-IF($C$78="x",4)-IF($I$78="x",1)-IF($I$77="x",2)-IF($I$90="x",2)+IF($I$83="x",2)-IF($C$76="x",4)-$C$112+IF(H797="x",1)+I797+$M$77+IF(H799="x",1)+IF(J799="x",1)+IF($M$76="x",2)+J797+IF($M$85="x",1)+IF($M$113="x",1)+IF($M$120="x",2)+IF($M$119="x",2)+IF($M$105="x",1)+IF($M$110="x",1)+IF($M$111="x",2)+IF($M$112="x",4)+IF($M$108="x",1)-IF($M$109="x",1)-IF($M$99="x",1)+IF($M$90="x",1)-15)</f>
        <v>-12</v>
      </c>
      <c r="C803" s="82"/>
      <c r="D803" s="121"/>
      <c r="E803" s="82"/>
      <c r="F803" s="82"/>
      <c r="G803" s="82"/>
      <c r="H803" s="82"/>
      <c r="J803" s="64"/>
      <c r="K803" s="64"/>
      <c r="N803" s="15"/>
      <c r="AB803" s="15"/>
      <c r="AC803" s="15"/>
      <c r="AD803" s="15"/>
      <c r="AE803" s="15"/>
      <c r="AF803" s="15"/>
      <c r="AG803" s="15"/>
      <c r="AH803" s="15"/>
      <c r="AI803" s="15"/>
      <c r="AJ803" s="15"/>
      <c r="AK803" s="15"/>
      <c r="AL803" s="15"/>
    </row>
    <row r="804" spans="1:38" x14ac:dyDescent="0.2">
      <c r="A804" s="127">
        <f>A797*8</f>
        <v>560</v>
      </c>
      <c r="B804" s="123">
        <f>_xlfn.IFS($I$85="x","PAINISSA",
N99&lt;6,SUM($C$3,$I$3)+IF(H801="x",1)-IF($C$79="x",4)-IF($I$2&lt;I801,2)-14+$I$16-$B$10+$M$94+IF($C$77="x",2)-IF($C$78="x",4)-IF($I$78="x",1)-IF($I$77="x",2)-IF($I$90="x",2)+IF($I$83="x",2)-IF($C$76="x",4)-$C$112+IF(H797="x",1)+I797+$M$77+IF(H799="x",1)+IF(J799="x",1)+IF($M$76="x",2)+J797+IF($M$85="x",1)+IF($M$113="x",1)+IF($M$120="x",2)+IF($M$119="x",2)+IF($M$105="x",1)+IF($M$110="x",1)+IF($M$111="x",2)+IF($M$112="x",4)+IF($M$108="x",1)-IF($M$109="x",1)-IF($M$99="x",1)+IF($M$90="x",1),
N99&lt;11,SUM($C$3,$I$3)+IF(H801="x",1)-IF($C$79="x",4)-IF($I$2&lt;I801,2)-14+$I$16-$B$10+$M$94+IF($C$77="x",2)-IF($C$78="x",4)-IF($I$78="x",1)-IF($I$77="x",2)-IF($I$90="x",2)+IF($I$83="x",2)-IF($C$76="x",4)-$C$112+IF(H797="x",1)+I797+$M$77+IF(H799="x",1)+IF(J799="x",1)+IF($M$76="x",2)+J797+IF($M$85="x",1)+IF($M$113="x",1)+IF($M$120="x",2)+IF($M$119="x",2)+IF($M$105="x",1)+IF($M$110="x",1)+IF($M$111="x",2)+IF($M$112="x",4)+IF($M$108="x",1)-IF($M$109="x",1)-IF($M$99="x",1)+IF($M$90="x",1)
&amp;"/"&amp;SUM($C$3,$I$3)+IF(H801="x",1)-IF($C$79="x",4)-IF($I$2&lt;I801,2)-14+$I$16-$B$10+$M$94+IF($C$77="x",2)-IF($C$78="x",4)-IF($I$78="x",1)-IF($I$77="x",2)-IF($I$90="x",2)+IF($I$83="x",2)-IF($C$76="x",4)-$C$112+IF(H797="x",1)+I797+$M$77+IF(H799="x",1)+IF(J799="x",1)+IF($M$76="x",2)+J797+IF($M$85="x",1)+IF($M$113="x",1)+IF($M$120="x",2)+IF($M$119="x",2)+IF($M$105="x",1)+IF($M$110="x",1)+IF($M$111="x",2)+IF($M$112="x",4)+IF($M$108="x",1)-IF($M$109="x",1)-IF($M$99="x",1)+IF($M$90="x",1)-5,
N99&lt;16,SUM($C$3,$I$3)+IF(H801="x",1)-IF($C$79="x",4)-IF($I$2&lt;I801,2)-14+$I$16-$B$10+$M$94+IF($C$77="x",2)-IF($C$78="x",4)-IF($I$78="x",1)-IF($I$77="x",2)-IF($I$90="x",2)+IF($I$83="x",2)-IF($C$76="x",4)-$C$112+IF(H797="x",1)+I797+$M$77+IF(H799="x",1)+IF(J799="x",1)+IF($M$76="x",2)+J797+IF($M$85="x",1)+IF($M$113="x",1)+IF($M$120="x",2)+IF($M$119="x",2)+IF($M$105="x",1)+IF($M$110="x",1)+IF($M$111="x",2)+IF($M$112="x",4)+IF($M$108="x",1)-IF($M$109="x",1)-IF($M$99="x",1)+IF($M$90="x",1)
&amp;"/"&amp;SUM($C$3,$I$3)+IF(H801="x",1)-IF($C$79="x",4)-IF($I$2&lt;I801,2)-14+$I$16-$B$10+$M$94+IF($C$77="x",2)-IF($C$78="x",4)-IF($I$78="x",1)-IF($I$77="x",2)-IF($I$90="x",2)+IF($I$83="x",2)-IF($C$76="x",4)-$C$112+IF(H797="x",1)+I797+$M$77+IF(H799="x",1)+IF(J799="x",1)+IF($M$76="x",2)+J797+IF($M$85="x",1)+IF($M$113="x",1)+IF($M$120="x",2)+IF($M$119="x",2)+IF($M$105="x",1)+IF($M$110="x",1)+IF($M$111="x",2)+IF($M$112="x",4)+IF($M$108="x",1)-IF($M$109="x",1)-IF($M$99="x",1)+IF($M$90="x",1)-5
&amp;"/"&amp;SUM($C$3,$I$3)+IF(H801="x",1)-IF($C$79="x",4)-IF($I$2&lt;I801,2)-14+$I$16-$B$10+$M$94+IF($C$77="x",2)-IF($C$78="x",4)-IF($I$78="x",1)-IF($I$77="x",2)-IF($I$90="x",2)+IF($I$83="x",2)-IF($C$76="x",4)-$C$112+IF(H797="x",1)+I797+$M$77+IF(H799="x",1)+IF(J799="x",1)+IF($M$76="x",2)+J797+IF($M$85="x",1)+IF($M$113="x",1)+IF($M$120="x",2)+IF($M$119="x",2)+IF($M$105="x",1)+IF($M$110="x",1)+IF($M$111="x",2)+IF($M$112="x",4)+IF($M$108="x",1)-IF($M$109="x",1)-IF($M$99="x",1)+IF($M$90="x",1)-10,
N99&gt;=16,SUM($C$3,$I$3)+IF(H801="x",1)-IF($C$79="x",4)-IF($I$2&lt;I801,2)-14+$I$16-$B$10+$M$94+IF($C$77="x",2)-IF($C$78="x",4)-IF($I$78="x",1)-IF($I$77="x",2)-IF($I$90="x",2)+IF($I$83="x",2)-IF($C$76="x",4)-$C$112+IF(H797="x",1)+I797+$M$77+IF(H799="x",1)+IF(J799="x",1)+IF($M$76="x",2)+J797+IF($M$85="x",1)+IF($M$113="x",1)+IF($M$120="x",2)+IF($M$119="x",2)+IF($M$105="x",1)+IF($M$110="x",1)+IF($M$111="x",2)+IF($M$112="x",4)+IF($M$108="x",1)-IF($M$109="x",1)-IF($M$99="x",1)+IF($M$90="x",1)
&amp;"/"&amp;SUM($C$3,$I$3)+IF(H801="x",1)-IF($C$79="x",4)-IF($I$2&lt;I801,2)-14+$I$16-$B$10+$M$94+IF($C$77="x",2)-IF($C$78="x",4)-IF($I$78="x",1)-IF($I$77="x",2)-IF($I$90="x",2)+IF($I$83="x",2)-IF($C$76="x",4)-$C$112+IF(H797="x",1)+I797+$M$77+IF(H799="x",1)+IF(J799="x",1)+IF($M$76="x",2)+J797+IF($M$85="x",1)+IF($M$113="x",1)+IF($M$120="x",2)+IF($M$119="x",2)+IF($M$105="x",1)+IF($M$110="x",1)+IF($M$111="x",2)+IF($M$112="x",4)+IF($M$108="x",1)-IF($M$109="x",1)-IF($M$99="x",1)+IF($M$90="x",1)-5
&amp;"/"&amp;SUM($C$3,$I$3)+IF(H801="x",1)-IF($C$79="x",4)-IF($I$2&lt;I801,2)-14+$I$16-$B$10+$M$94+IF($C$77="x",2)-IF($C$78="x",4)-IF($I$78="x",1)-IF($I$77="x",2)-IF($I$90="x",2)+IF($I$83="x",2)-IF($C$76="x",4)-$C$112+IF(H797="x",1)+I797+$M$77+IF(H799="x",1)+IF(J799="x",1)+IF($M$76="x",2)+J797+IF($M$85="x",1)+IF($M$113="x",1)+IF($M$120="x",2)+IF($M$119="x",2)+IF($M$105="x",1)+IF($M$110="x",1)+IF($M$111="x",2)+IF($M$112="x",4)+IF($M$108="x",1)-IF($M$109="x",1)-IF($M$99="x",1)+IF($M$90="x",1)-10
&amp;"/"&amp;SUM($C$3,$I$3)+IF(H801="x",1)-IF($C$79="x",4)-IF($I$2&lt;I801,2)-14+$I$16-$B$10+$M$94+IF($C$77="x",2)-IF($C$78="x",4)-IF($I$78="x",1)-IF($I$77="x",2)-IF($I$90="x",2)+IF($I$83="x",2)-IF($C$76="x",4)-$C$112+IF(H797="x",1)+I797+$M$77+IF(H799="x",1)+IF(J799="x",1)+IF($M$76="x",2)+J797+IF($M$85="x",1)+IF($M$113="x",1)+IF($M$120="x",2)+IF($M$119="x",2)+IF($M$105="x",1)+IF($M$110="x",1)+IF($M$111="x",2)+IF($M$112="x",4)+IF($M$108="x",1)-IF($M$109="x",1)-IF($M$99="x",1)+IF($M$90="x",1)-15)</f>
        <v>-14</v>
      </c>
      <c r="C804" s="82"/>
      <c r="D804" s="121"/>
      <c r="E804" s="82"/>
      <c r="F804" s="82"/>
      <c r="G804" s="82"/>
      <c r="H804" s="82"/>
      <c r="I804" s="82"/>
      <c r="J804" s="64"/>
      <c r="K804" s="64"/>
      <c r="N804" s="15"/>
      <c r="AB804" s="15"/>
      <c r="AC804" s="15"/>
      <c r="AD804" s="15"/>
      <c r="AE804" s="15"/>
      <c r="AF804" s="15"/>
      <c r="AG804" s="15"/>
      <c r="AH804" s="15"/>
      <c r="AI804" s="15"/>
      <c r="AJ804" s="15"/>
      <c r="AK804" s="15"/>
      <c r="AL804" s="15"/>
    </row>
    <row r="805" spans="1:38" x14ac:dyDescent="0.2">
      <c r="A805" s="126">
        <f>A797*9</f>
        <v>630</v>
      </c>
      <c r="B805" s="121">
        <f>_xlfn.IFS($I$85="x","PAINISSA",
N99&lt;6,SUM($C$3,$I$3)+IF(H801="x",1)-IF($C$79="x",4)-IF($I$2&lt;I801,2)-16+$I$16-$B$10+$M$94+IF($C$77="x",2)-IF($C$78="x",4)-IF($I$78="x",1)-IF($I$77="x",2)-IF($I$90="x",2)+IF($I$83="x",2)-IF($C$76="x",4)-$C$112+IF(H797="x",1)+I797+$M$77+IF(H799="x",1)+IF(J799="x",1)+IF($M$76="x",2)+J797+IF($M$85="x",1)+IF($M$113="x",1)+IF($M$120="x",2)+IF($M$119="x",2)+IF($M$105="x",1)+IF($M$110="x",1)+IF($M$111="x",2)+IF($M$112="x",4)+IF($M$108="x",1)-IF($M$109="x",1)-IF($M$99="x",1)+IF($M$90="x",1),
N99&lt;11,SUM($C$3,$I$3)+IF(H801="x",1)-IF($C$79="x",4)-IF($I$2&lt;I801,2)-16+$I$16-$B$10+$M$94+IF($C$77="x",2)-IF($C$78="x",4)-IF($I$78="x",1)-IF($I$77="x",2)-IF($I$90="x",2)+IF($I$83="x",2)-IF($C$76="x",4)-$C$112+IF(H797="x",1)+I797+$M$77+IF(H799="x",1)+IF(J799="x",1)+IF($M$76="x",2)+J797+IF($M$85="x",1)+IF($M$113="x",1)+IF($M$120="x",2)+IF($M$119="x",2)+IF($M$105="x",1)+IF($M$110="x",1)+IF($M$111="x",2)+IF($M$112="x",4)+IF($M$108="x",1)-IF($M$109="x",1)-IF($M$99="x",1)+IF($M$90="x",1)
&amp;"/"&amp;SUM($C$3,$I$3)+IF(H801="x",1)-IF($C$79="x",4)-IF($I$2&lt;I801,2)-16+$I$16-$B$10+$M$94+IF($C$77="x",2)-IF($C$78="x",4)-IF($I$78="x",1)-IF($I$77="x",2)-IF($I$90="x",2)+IF($I$83="x",2)-IF($C$76="x",4)-$C$112+IF(H797="x",1)+I797+$M$77+IF(H799="x",1)+IF(J799="x",1)+IF($M$76="x",2)+J797+IF($M$85="x",1)+IF($M$113="x",1)+IF($M$120="x",2)+IF($M$119="x",2)+IF($M$105="x",1)+IF($M$110="x",1)+IF($M$111="x",2)+IF($M$112="x",4)+IF($M$108="x",1)-IF($M$109="x",1)-IF($M$99="x",1)+IF($M$90="x",1)-5,
N99&lt;16,SUM($C$3,$I$3)+IF(H801="x",1)-IF($C$79="x",4)-IF($I$2&lt;I801,2)-16+$I$16-$B$10+$M$94+IF($C$77="x",2)-IF($C$78="x",4)-IF($I$78="x",1)-IF($I$77="x",2)-IF($I$90="x",2)+IF($I$83="x",2)-IF($C$76="x",4)-$C$112+IF(H797="x",1)+I797+$M$77+IF(H799="x",1)+IF(J799="x",1)+IF($M$76="x",2)+J797+IF($M$85="x",1)+IF($M$113="x",1)+IF($M$120="x",2)+IF($M$119="x",2)+IF($M$105="x",1)+IF($M$110="x",1)+IF($M$111="x",2)+IF($M$112="x",4)+IF($M$108="x",1)-IF($M$109="x",1)-IF($M$99="x",1)+IF($M$90="x",1)
&amp;"/"&amp;SUM($C$3,$I$3)+IF(H801="x",1)-IF($C$79="x",4)-IF($I$2&lt;I801,2)-16+$I$16-$B$10+$M$94+IF($C$77="x",2)-IF($C$78="x",4)-IF($I$78="x",1)-IF($I$77="x",2)-IF($I$90="x",2)+IF($I$83="x",2)-IF($C$76="x",4)-$C$112+IF(H797="x",1)+I797+$M$77+IF(H799="x",1)+IF(J799="x",1)+IF($M$76="x",2)+J797+IF($M$85="x",1)+IF($M$113="x",1)+IF($M$120="x",2)+IF($M$119="x",2)+IF($M$105="x",1)+IF($M$110="x",1)+IF($M$111="x",2)+IF($M$112="x",4)+IF($M$108="x",1)-IF($M$109="x",1)-IF($M$99="x",1)+IF($M$90="x",1)-5
&amp;"/"&amp;SUM($C$3,$I$3)+IF(H801="x",1)-IF($C$79="x",4)-IF($I$2&lt;I801,2)-16+$I$16-$B$10+$M$94+IF($C$77="x",2)-IF($C$78="x",4)-IF($I$78="x",1)-IF($I$77="x",2)-IF($I$90="x",2)+IF($I$83="x",2)-IF($C$76="x",4)-$C$112+IF(H797="x",1)+I797+$M$77+IF(H799="x",1)+IF(J799="x",1)+IF($M$76="x",2)+J797+IF($M$85="x",1)+IF($M$113="x",1)+IF($M$120="x",2)+IF($M$119="x",2)+IF($M$105="x",1)+IF($M$110="x",1)+IF($M$111="x",2)+IF($M$112="x",4)+IF($M$108="x",1)-IF($M$109="x",1)-IF($M$99="x",1)+IF($M$90="x",1)-10,
N99&gt;=16,SUM($C$3,$I$3)+IF(H801="x",1)-IF($C$79="x",4)-IF($I$2&lt;I801,2)-16+$I$16-$B$10+$M$94+IF($C$77="x",2)-IF($C$78="x",4)-IF($I$78="x",1)-IF($I$77="x",2)-IF($I$90="x",2)+IF($I$83="x",2)-IF($C$76="x",4)-$C$112+IF(H797="x",1)+I797+$M$77+IF(H799="x",1)+IF(J799="x",1)+IF($M$76="x",2)+J797+IF($M$85="x",1)+IF($M$113="x",1)+IF($M$120="x",2)+IF($M$119="x",2)+IF($M$105="x",1)+IF($M$110="x",1)+IF($M$111="x",2)+IF($M$112="x",4)+IF($M$108="x",1)-IF($M$109="x",1)-IF($M$99="x",1)+IF($M$90="x",1)
&amp;"/"&amp;SUM($C$3,$I$3)+IF(H801="x",1)-IF($C$79="x",4)-IF($I$2&lt;I801,2)-16+$I$16-$B$10+$M$94+IF($C$77="x",2)-IF($C$78="x",4)-IF($I$78="x",1)-IF($I$77="x",2)-IF($I$90="x",2)+IF($I$83="x",2)-IF($C$76="x",4)-$C$112+IF(H797="x",1)+I797+$M$77+IF(H799="x",1)+IF(J799="x",1)+IF($M$76="x",2)+J797+IF($M$85="x",1)+IF($M$113="x",1)+IF($M$120="x",2)+IF($M$119="x",2)+IF($M$105="x",1)+IF($M$110="x",1)+IF($M$111="x",2)+IF($M$112="x",4)+IF($M$108="x",1)-IF($M$109="x",1)-IF($M$99="x",1)+IF($M$90="x",1)-5
&amp;"/"&amp;SUM($C$3,$I$3)+IF(H801="x",1)-IF($C$79="x",4)-IF($I$2&lt;I801,2)-16+$I$16-$B$10+$M$94+IF($C$77="x",2)-IF($C$78="x",4)-IF($I$78="x",1)-IF($I$77="x",2)-IF($I$90="x",2)+IF($I$83="x",2)-IF($C$76="x",4)-$C$112+IF(H797="x",1)+I797+$M$77+IF(H799="x",1)+IF(J799="x",1)+IF($M$76="x",2)+J797+IF($M$85="x",1)+IF($M$113="x",1)+IF($M$120="x",2)+IF($M$119="x",2)+IF($M$105="x",1)+IF($M$110="x",1)+IF($M$111="x",2)+IF($M$112="x",4)+IF($M$108="x",1)-IF($M$109="x",1)-IF($M$99="x",1)+IF($M$90="x",1)-10
&amp;"/"&amp;SUM($C$3,$I$3)+IF(H801="x",1)-IF($C$79="x",4)-IF($I$2&lt;I801,2)-16+$I$16-$B$10+$M$94+IF($C$77="x",2)-IF($C$78="x",4)-IF($I$78="x",1)-IF($I$77="x",2)-IF($I$90="x",2)+IF($I$83="x",2)-IF($C$76="x",4)-$C$112+IF(H797="x",1)+I797+$M$77+IF(H799="x",1)+IF(J799="x",1)+IF($M$76="x",2)+J797+IF($M$85="x",1)+IF($M$113="x",1)+IF($M$120="x",2)+IF($M$119="x",2)+IF($M$105="x",1)+IF($M$110="x",1)+IF($M$111="x",2)+IF($M$112="x",4)+IF($M$108="x",1)-IF($M$109="x",1)-IF($M$99="x",1)+IF($M$90="x",1)-15)</f>
        <v>-16</v>
      </c>
      <c r="C805" s="82"/>
      <c r="D805" s="121"/>
      <c r="E805" s="82"/>
      <c r="F805" s="82"/>
      <c r="G805" s="82"/>
      <c r="H805" s="82"/>
      <c r="I805" s="155"/>
      <c r="N805" s="15"/>
      <c r="AB805" s="15"/>
      <c r="AC805" s="15"/>
      <c r="AD805" s="15"/>
      <c r="AE805" s="15"/>
      <c r="AF805" s="15"/>
      <c r="AG805" s="15"/>
      <c r="AH805" s="15"/>
      <c r="AI805" s="15"/>
      <c r="AJ805" s="15"/>
      <c r="AK805" s="15"/>
      <c r="AL805" s="15"/>
    </row>
    <row r="806" spans="1:38" x14ac:dyDescent="0.2">
      <c r="A806" s="127">
        <f>A797*10</f>
        <v>700</v>
      </c>
      <c r="B806" s="123">
        <f>_xlfn.IFS($I$85="x","PAINISSA",
N99&lt;6,SUM($C$3,$I$3)+IF(H801="x",1)-IF($C$79="x",4)-IF($I$2&lt;I801,2)-18+$I$16-$B$10+$M$94+IF($C$77="x",2)-IF($C$78="x",4)-IF($I$78="x",1)-IF($I$77="x",2)-IF($I$90="x",2)+IF($I$83="x",2)-IF($C$76="x",4)-$C$112+IF(H797="x",1)+I797+$M$77+IF(H799="x",1)+IF(J799="x",1)+IF($M$76="x",2)+J797+IF($M$85="x",1)+IF($M$113="x",1)+IF($M$120="x",2)+IF($M$119="x",2)+IF($M$105="x",1)+IF($M$110="x",1)+IF($M$111="x",2)+IF($M$112="x",4)+IF($M$108="x",1)-IF($M$109="x",1)-IF($M$99="x",1)+IF($M$90="x",1),
N99&lt;11,SUM($C$3,$I$3)+IF(H801="x",1)-IF($C$79="x",4)-IF($I$2&lt;I801,2)-18+$I$16-$B$10+$M$94+IF($C$77="x",2)-IF($C$78="x",4)-IF($I$78="x",1)-IF($I$77="x",2)-IF($I$90="x",2)+IF($I$83="x",2)-IF($C$76="x",4)-$C$112+IF(H797="x",1)+I797+$M$77+IF(H799="x",1)+IF(J799="x",1)+IF($M$76="x",2)+J797+IF($M$85="x",1)+IF($M$113="x",1)+IF($M$120="x",2)+IF($M$119="x",2)+IF($M$105="x",1)+IF($M$110="x",1)+IF($M$111="x",2)+IF($M$112="x",4)+IF($M$108="x",1)-IF($M$109="x",1)-IF($M$99="x",1)+IF($M$90="x",1)
&amp;"/"&amp;SUM($C$3,$I$3)+IF(H801="x",1)-IF($C$79="x",4)-IF($I$2&lt;I801,2)-18+$I$16-$B$10+$M$94+IF($C$77="x",2)-IF($C$78="x",4)-IF($I$78="x",1)-IF($I$77="x",2)-IF($I$90="x",2)+IF($I$83="x",2)-IF($C$76="x",4)-$C$112+IF(H797="x",1)+I797+$M$77+IF(H799="x",1)+IF(J799="x",1)+IF($M$76="x",2)+J797+IF($M$85="x",1)+IF($M$113="x",1)+IF($M$120="x",2)+IF($M$119="x",2)+IF($M$105="x",1)+IF($M$110="x",1)+IF($M$111="x",2)+IF($M$112="x",4)+IF($M$108="x",1)-IF($M$109="x",1)-IF($M$99="x",1)+IF($M$90="x",1)-5,
N99&lt;16,SUM($C$3,$I$3)+IF(H801="x",1)-IF($C$79="x",4)-IF($I$2&lt;I801,2)-18+$I$16-$B$10+$M$94+IF($C$77="x",2)-IF($C$78="x",4)-IF($I$78="x",1)-IF($I$77="x",2)-IF($I$90="x",2)+IF($I$83="x",2)-IF($C$76="x",4)-$C$112+IF(H797="x",1)+I797+$M$77+IF(H799="x",1)+IF(J799="x",1)+IF($M$76="x",2)+J797+IF($M$85="x",1)+IF($M$113="x",1)+IF($M$120="x",2)+IF($M$119="x",2)+IF($M$105="x",1)+IF($M$110="x",1)+IF($M$111="x",2)+IF($M$112="x",4)+IF($M$108="x",1)-IF($M$109="x",1)-IF($M$99="x",1)+IF($M$90="x",1)
&amp;"/"&amp;SUM($C$3,$I$3)+IF(H801="x",1)-IF($C$79="x",4)-IF($I$2&lt;I801,2)-18+$I$16-$B$10+$M$94+IF($C$77="x",2)-IF($C$78="x",4)-IF($I$78="x",1)-IF($I$77="x",2)-IF($I$90="x",2)+IF($I$83="x",2)-IF($C$76="x",4)-$C$112+IF(H797="x",1)+I797+$M$77+IF(H799="x",1)+IF(J799="x",1)+IF($M$76="x",2)+J797+IF($M$85="x",1)+IF($M$113="x",1)+IF($M$120="x",2)+IF($M$119="x",2)+IF($M$105="x",1)+IF($M$110="x",1)+IF($M$111="x",2)+IF($M$112="x",4)+IF($M$108="x",1)-IF($M$109="x",1)-IF($M$99="x",1)+IF($M$90="x",1)-5
&amp;"/"&amp;SUM($C$3,$I$3)+IF(H801="x",1)-IF($C$79="x",4)-IF($I$2&lt;I801,2)-18+$I$16-$B$10+$M$94+IF($C$77="x",2)-IF($C$78="x",4)-IF($I$78="x",1)-IF($I$77="x",2)-IF($I$90="x",2)+IF($I$83="x",2)-IF($C$76="x",4)-$C$112+IF(H797="x",1)+I797+$M$77+IF(H799="x",1)+IF(J799="x",1)+IF($M$76="x",2)+J797+IF($M$85="x",1)+IF($M$113="x",1)+IF($M$120="x",2)+IF($M$119="x",2)+IF($M$105="x",1)+IF($M$110="x",1)+IF($M$111="x",2)+IF($M$112="x",4)+IF($M$108="x",1)-IF($M$109="x",1)-IF($M$99="x",1)+IF($M$90="x",1)-10,
N99&gt;=16,SUM($C$3,$I$3)+IF(H801="x",1)-IF($C$79="x",4)-IF($I$2&lt;I801,2)-18+$I$16-$B$10+$M$94+IF($C$77="x",2)-IF($C$78="x",4)-IF($I$78="x",1)-IF($I$77="x",2)-IF($I$90="x",2)+IF($I$83="x",2)-IF($C$76="x",4)-$C$112+IF(H797="x",1)+I797+$M$77+IF(H799="x",1)+IF(J799="x",1)+IF($M$76="x",2)+J797+IF($M$85="x",1)+IF($M$113="x",1)+IF($M$120="x",2)+IF($M$119="x",2)+IF($M$105="x",1)+IF($M$110="x",1)+IF($M$111="x",2)+IF($M$112="x",4)+IF($M$108="x",1)-IF($M$109="x",1)-IF($M$99="x",1)+IF($M$90="x",1)
&amp;"/"&amp;SUM($C$3,$I$3)+IF(H801="x",1)-IF($C$79="x",4)-IF($I$2&lt;I801,2)-18+$I$16-$B$10+$M$94+IF($C$77="x",2)-IF($C$78="x",4)-IF($I$78="x",1)-IF($I$77="x",2)-IF($I$90="x",2)+IF($I$83="x",2)-IF($C$76="x",4)-$C$112+IF(H797="x",1)+I797+$M$77+IF(H799="x",1)+IF(J799="x",1)+IF($M$76="x",2)+J797+IF($M$85="x",1)+IF($M$113="x",1)+IF($M$120="x",2)+IF($M$119="x",2)+IF($M$105="x",1)+IF($M$110="x",1)+IF($M$111="x",2)+IF($M$112="x",4)+IF($M$108="x",1)-IF($M$109="x",1)-IF($M$99="x",1)+IF($M$90="x",1)-5
&amp;"/"&amp;SUM($C$3,$I$3)+IF(H801="x",1)-IF($C$79="x",4)-IF($I$2&lt;I801,2)-18+$I$16-$B$10+$M$94+IF($C$77="x",2)-IF($C$78="x",4)-IF($I$78="x",1)-IF($I$77="x",2)-IF($I$90="x",2)+IF($I$83="x",2)-IF($C$76="x",4)-$C$112+IF(H797="x",1)+I797+$M$77+IF(H799="x",1)+IF(J799="x",1)+IF($M$76="x",2)+J797+IF($M$85="x",1)+IF($M$113="x",1)+IF($M$120="x",2)+IF($M$119="x",2)+IF($M$105="x",1)+IF($M$110="x",1)+IF($M$111="x",2)+IF($M$112="x",4)+IF($M$108="x",1)-IF($M$109="x",1)-IF($M$99="x",1)+IF($M$90="x",1)-10
&amp;"/"&amp;SUM($C$3,$I$3)+IF(H801="x",1)-IF($C$79="x",4)-IF($I$2&lt;I801,2)-18+$I$16-$B$10+$M$94+IF($C$77="x",2)-IF($C$78="x",4)-IF($I$78="x",1)-IF($I$77="x",2)-IF($I$90="x",2)+IF($I$83="x",2)-IF($C$76="x",4)-$C$112+IF(H797="x",1)+I797+$M$77+IF(H799="x",1)+IF(J799="x",1)+IF($M$76="x",2)+J797+IF($M$85="x",1)+IF($M$113="x",1)+IF($M$120="x",2)+IF($M$119="x",2)+IF($M$105="x",1)+IF($M$110="x",1)+IF($M$111="x",2)+IF($M$112="x",4)+IF($M$108="x",1)-IF($M$109="x",1)-IF($M$99="x",1)+IF($M$90="x",1)-15)</f>
        <v>-18</v>
      </c>
      <c r="C806" s="82"/>
      <c r="D806" s="121"/>
      <c r="E806" s="82"/>
      <c r="I806" s="155"/>
      <c r="J806" s="25"/>
      <c r="K806" s="25"/>
      <c r="N806" s="15"/>
      <c r="AB806" s="15"/>
      <c r="AC806" s="15"/>
      <c r="AD806" s="15"/>
      <c r="AE806" s="15"/>
      <c r="AF806" s="15"/>
      <c r="AG806" s="15"/>
      <c r="AH806" s="15"/>
      <c r="AI806" s="15"/>
      <c r="AJ806" s="15"/>
      <c r="AK806" s="15"/>
      <c r="AL806" s="15"/>
    </row>
    <row r="807" spans="1:38" x14ac:dyDescent="0.2">
      <c r="A807" s="45"/>
      <c r="B807" s="45"/>
      <c r="C807" s="45"/>
      <c r="D807" s="45"/>
      <c r="E807" s="45"/>
      <c r="F807" s="45"/>
      <c r="G807" s="45"/>
      <c r="H807" s="45"/>
      <c r="I807" s="45"/>
      <c r="J807" s="45"/>
      <c r="K807" s="45"/>
      <c r="N807" s="15"/>
      <c r="AB807" s="15"/>
      <c r="AC807" s="15"/>
      <c r="AD807" s="15"/>
      <c r="AE807" s="15"/>
      <c r="AF807" s="15"/>
      <c r="AG807" s="15"/>
      <c r="AH807" s="15"/>
      <c r="AI807" s="15"/>
      <c r="AJ807" s="15"/>
      <c r="AK807" s="15"/>
      <c r="AL807" s="15"/>
    </row>
    <row r="808" spans="1:38" x14ac:dyDescent="0.2">
      <c r="A808" s="46"/>
      <c r="B808" s="48"/>
      <c r="C808" s="48"/>
      <c r="D808" s="48"/>
      <c r="E808" s="48"/>
      <c r="F808" s="48"/>
      <c r="G808" s="48"/>
      <c r="H808" s="48"/>
      <c r="I808" s="48"/>
      <c r="J808" s="48"/>
      <c r="K808" s="45"/>
      <c r="N808" s="15"/>
      <c r="AB808" s="15"/>
      <c r="AC808" s="15"/>
      <c r="AD808" s="15"/>
      <c r="AE808" s="15"/>
      <c r="AF808" s="15"/>
      <c r="AG808" s="15"/>
      <c r="AH808" s="15"/>
      <c r="AI808" s="15"/>
      <c r="AJ808" s="15"/>
      <c r="AK808" s="15"/>
      <c r="AL808" s="15"/>
    </row>
    <row r="809" spans="1:38" x14ac:dyDescent="0.2">
      <c r="A809" s="34" t="s">
        <v>276</v>
      </c>
      <c r="B809" s="11" t="s">
        <v>1</v>
      </c>
      <c r="C809" s="11" t="s">
        <v>2</v>
      </c>
      <c r="D809" s="11" t="s">
        <v>3</v>
      </c>
      <c r="E809" s="11" t="s">
        <v>229</v>
      </c>
      <c r="F809" s="11" t="s">
        <v>3</v>
      </c>
      <c r="G809" s="11" t="s">
        <v>45</v>
      </c>
      <c r="H809" s="14" t="s">
        <v>179</v>
      </c>
      <c r="I809" s="11" t="s">
        <v>242</v>
      </c>
      <c r="J809" s="11" t="s">
        <v>224</v>
      </c>
      <c r="K809" s="11" t="s">
        <v>225</v>
      </c>
      <c r="N809" s="15"/>
      <c r="AB809" s="15"/>
      <c r="AC809" s="15"/>
      <c r="AD809" s="15"/>
      <c r="AE809" s="15"/>
      <c r="AF809" s="15"/>
      <c r="AG809" s="15"/>
      <c r="AH809" s="15"/>
      <c r="AI809" s="15"/>
      <c r="AJ809" s="15"/>
      <c r="AK809" s="15"/>
      <c r="AL809" s="15"/>
    </row>
    <row r="810" spans="1:38" x14ac:dyDescent="0.2">
      <c r="A810" s="126">
        <f>IF($C$98="x",110*1.5,110)</f>
        <v>110</v>
      </c>
      <c r="B810" s="121">
        <f>_xlfn.IFS($I$85="x","PAINISSA",
$I$3&lt;6,SUM($C$3,$I$3)+IF(H814="x",1)-IF($C$79="x",4)-IF($I$2&lt;I814,2)+$I$16-$B$10+$M$94+IF($C$77="x",2)-IF($C$78="x",4)-IF($I$78="x",1)-IF($I$77="x",2)-IF($I$90="x",2)+IF($I$83="x",2)-IF($C$76="x",4)-$C$112+IF(H810="x",1)+I810+$M$77+IF(H812="x",1)+IF(J812="x",1)+IF($M$76="x",2)+J810+IF($M$85="x",1)+IF($M$113="x",1)+IF($M$120="x",2)+IF($M$119="x",2)+IF($M$105="x",1)+IF($M$110="x",1)+IF($M$111="x",2)+IF($M$112="x",4)+IF($M$108="x",1)-IF($M$109="x",1)-IF($M$99="x",1)+IF($M$90="x",1),
$I$3&lt;11,SUM($C$3,$I$3)+IF(H814="x",1)-IF($C$79="x",4)-IF($I$2&lt;I814,2)+$I$16-$B$10+$M$94+IF($C$77="x",2)-IF($C$78="x",4)-IF($I$78="x",1)-IF($I$77="x",2)-IF($I$90="x",2)+IF($I$83="x",2)-IF($C$76="x",4)-$C$112+IF(H810="x",1)+I810+$M$77+IF(H812="x",1)+IF(J812="x",1)+IF($M$76="x",2)+J810+IF($M$85="x",1)+IF($M$113="x",1)+IF($M$120="x",2)+IF($M$119="x",2)+IF($M$105="x",1)+IF($M$110="x",1)+IF($M$111="x",2)+IF($M$112="x",4)+IF($M$108="x",1)-IF($M$109="x",1)-IF($M$99="x",1)+IF($M$90="x",1)
&amp;"/"&amp;SUM($C$3,$I$3)+IF(H814="x",1)-IF($C$79="x",4)-IF($I$2&lt;I814,2)+$I$16-$B$10+$M$94+IF($C$77="x",2)-IF($C$78="x",4)-IF($I$78="x",1)-IF($I$77="x",2)-IF($I$90="x",2)+IF($I$83="x",2)-IF($C$76="x",4)-$C$112+IF(H810="x",1)+I810+$M$77+IF(H812="x",1)+IF(J812="x",1)+IF($M$76="x",2)+J810+IF($M$85="x",1)+IF($M$113="x",1)+IF($M$120="x",2)+IF($M$119="x",2)+IF($M$105="x",1)+IF($M$110="x",1)+IF($M$111="x",2)+IF($M$112="x",4)+IF($M$108="x",1)-IF($M$109="x",1)-IF($M$99="x",1)+IF($M$90="x",1)-5,
$I$3&lt;16,SUM($C$3,$I$3)+IF(H814="x",1)-IF($C$79="x",4)-IF($I$2&lt;I814,2)+$I$16-$B$10+$M$94+IF($C$77="x",2)-IF($C$78="x",4)-IF($I$78="x",1)-IF($I$77="x",2)-IF($I$90="x",2)+IF($I$83="x",2)-IF($C$76="x",4)-$C$112+IF(H810="x",1)+I810+$M$77+IF(H812="x",1)+IF(J812="x",1)+IF($M$76="x",2)+J810+IF($M$85="x",1)+IF($M$113="x",1)+IF($M$120="x",2)+IF($M$119="x",2)+IF($M$105="x",1)+IF($M$110="x",1)+IF($M$111="x",2)+IF($M$112="x",4)+IF($M$108="x",1)-IF($M$109="x",1)-IF($M$99="x",1)+IF($M$90="x",1)
&amp;"/"&amp;SUM($C$3,$I$3)+IF(H814="x",1)-IF($C$79="x",4)-IF($I$2&lt;I814,2)+$I$16-$B$10+$M$94+IF($C$77="x",2)-IF($C$78="x",4)-IF($I$78="x",1)-IF($I$77="x",2)-IF($I$90="x",2)+IF($I$83="x",2)-IF($C$76="x",4)-$C$112+IF(H810="x",1)+I810+$M$77+IF(H812="x",1)+IF(J812="x",1)+IF($M$76="x",2)+J810+IF($M$85="x",1)+IF($M$113="x",1)+IF($M$120="x",2)+IF($M$119="x",2)+IF($M$105="x",1)+IF($M$110="x",1)+IF($M$111="x",2)+IF($M$112="x",4)+IF($M$108="x",1)-IF($M$109="x",1)-IF($M$99="x",1)+IF($M$90="x",1)-5
&amp;"/"&amp;SUM($C$3,$I$3)+IF(H814="x",1)-IF($C$79="x",4)-IF($I$2&lt;I814,2)+$I$16-$B$10+$M$94+IF($C$77="x",2)-IF($C$78="x",4)-IF($I$78="x",1)-IF($I$77="x",2)-IF($I$90="x",2)+IF($I$83="x",2)-IF($C$76="x",4)-$C$112+IF(H810="x",1)+I810+$M$77+IF(H812="x",1)+IF(J812="x",1)+IF($M$76="x",2)+J810+IF($M$85="x",1)+IF($M$113="x",1)+IF($M$120="x",2)+IF($M$119="x",2)+IF($M$105="x",1)+IF($M$110="x",1)+IF($M$111="x",2)+IF($M$112="x",4)+IF($M$108="x",1)-IF($M$109="x",1)-IF($M$99="x",1)+IF($M$90="x",1)-10,
$I$3&gt;=16,SUM($C$3,$I$3)+IF(H814="x",1)-IF($C$79="x",4)-IF($I$2&lt;I814,2)+$I$16-$B$10+$M$94+IF($C$77="x",2)-IF($C$78="x",4)-IF($I$78="x",1)-IF($I$77="x",2)-IF($I$90="x",2)+IF($I$83="x",2)-IF($C$76="x",4)-$C$112+IF(H810="x",1)+I810+$M$77+IF(H812="x",1)+IF(J812="x",1)+IF($M$76="x",2)+J810+IF($M$85="x",1)+IF($M$113="x",1)+IF($M$120="x",2)+IF($M$119="x",2)+IF($M$105="x",1)+IF($M$110="x",1)+IF($M$111="x",2)+IF($M$112="x",4)+IF($M$108="x",1)-IF($M$109="x",1)-IF($M$99="x",1)+IF($M$90="x",1)
&amp;"/"&amp;SUM($C$3,$I$3)+IF(H814="x",1)-IF($C$79="x",4)-IF($I$2&lt;I814,2)+$I$16-$B$10+$M$94+IF($C$77="x",2)-IF($C$78="x",4)-IF($I$78="x",1)-IF($I$77="x",2)-IF($I$90="x",2)+IF($I$83="x",2)-IF($C$76="x",4)-$C$112+IF(H810="x",1)+I810+$M$77+IF(H812="x",1)+IF(J812="x",1)+IF($M$76="x",2)+J810+IF($M$85="x",1)+IF($M$113="x",1)+IF($M$120="x",2)+IF($M$119="x",2)+IF($M$105="x",1)+IF($M$110="x",1)+IF($M$111="x",2)+IF($M$112="x",4)+IF($M$108="x",1)-IF($M$109="x",1)-IF($M$99="x",1)+IF($M$90="x",1)-5
&amp;"/"&amp;SUM($C$3,$I$3)+IF(H814="x",1)-IF($C$79="x",4)-IF($I$2&lt;I814,2)+$I$16-$B$10+$M$94+IF($C$77="x",2)-IF($C$78="x",4)-IF($I$78="x",1)-IF($I$77="x",2)-IF($I$90="x",2)+IF($I$83="x",2)-IF($C$76="x",4)-$C$112+IF(H810="x",1)+I810+$M$77+IF(H812="x",1)+IF(J812="x",1)+IF($M$76="x",2)+J810+IF($M$85="x",1)+IF($M$113="x",1)+IF($M$120="x",2)+IF($M$119="x",2)+IF($M$105="x",1)+IF($M$110="x",1)+IF($M$111="x",2)+IF($M$112="x",4)+IF($M$108="x",1)-IF($M$109="x",1)-IF($M$99="x",1)+IF($M$90="x",1)-10
&amp;"/"&amp;SUM($C$3,$I$3)+IF(H814="x",1)-IF($C$79="x",4)-IF($I$2&lt;I814,2)+$I$16-$B$10+$M$94+IF($C$77="x",2)-IF($C$78="x",4)-IF($I$78="x",1)-IF($I$77="x",2)-IF($I$90="x",2)+IF($I$83="x",2)-IF($C$76="x",4)-$C$112+IF(H810="x",1)+I810+$M$77+IF(H812="x",1)+IF(J812="x",1)+IF($M$76="x",2)+J810+IF($M$85="x",1)+IF($M$113="x",1)+IF($M$120="x",2)+IF($M$119="x",2)+IF($M$105="x",1)+IF($M$110="x",1)+IF($M$111="x",2)+IF($M$112="x",4)+IF($M$108="x",1)-IF($M$109="x",1)-IF($M$99="x",1)+IF($M$90="x",1)-15)</f>
        <v>0</v>
      </c>
      <c r="C810" s="49" t="str">
        <f>_xlfn.IFS($C$7="Minimaalinen","1n2",$C$7="Taskukokoinen","1n3",$C$7="Hyvin pieni","1n4",$C$7="Pieni","1n6",$C$7="Keskikokoinen","1n8",$C$7="Iso","2n6",$C$7="Valtava","3n6",$C$7="Suunnaton","4n6",$C$7="Giganttinen","6n6")</f>
        <v>1n8</v>
      </c>
      <c r="D810" s="51">
        <f>IF(H814="x",1)+IF(I812="x",2)+I810+K810+IF(K812="x",2)+_xlfn.IFS($I$2&lt;0,$I$2,
I814=0,0,
$I$2=I814,I814,
$I$2&lt;I814,$I$2,
$I$2&gt;I814,I814)</f>
        <v>0</v>
      </c>
      <c r="E810" s="49" t="str">
        <f>_xlfn.IFS($C$7="Minimaalinen","3n2",$C$7="Taskukokoinen","3n3",$C$7="Hyvin pieni","3n4",$C$7="Pieni","3n6",$C$7="Keskikokoinen","3n8",$C$7="Iso","6n6",$C$7="Valtava","9n6",$C$7="Suunnaton","12n6",$C$7="Giganttinen","18n6")</f>
        <v>3n8</v>
      </c>
      <c r="F810" s="82">
        <f>SUM(D810*3)</f>
        <v>0</v>
      </c>
      <c r="G810" s="82" t="str">
        <f>(IF($I$89="x","50 %","")&amp;(IF($C$81="x","20 %",""))&amp;(IF($C$82="x","50 %","")))</f>
        <v/>
      </c>
      <c r="H810" s="28"/>
      <c r="I810" s="17">
        <v>0</v>
      </c>
      <c r="J810" s="17">
        <v>0</v>
      </c>
      <c r="K810" s="17">
        <v>0</v>
      </c>
      <c r="N810" s="15"/>
      <c r="AB810" s="15"/>
      <c r="AC810" s="15"/>
      <c r="AD810" s="15"/>
      <c r="AE810" s="15"/>
      <c r="AF810" s="15"/>
      <c r="AG810" s="15"/>
      <c r="AH810" s="15"/>
      <c r="AI810" s="15"/>
      <c r="AJ810" s="15"/>
      <c r="AK810" s="15"/>
      <c r="AL810" s="15"/>
    </row>
    <row r="811" spans="1:38" x14ac:dyDescent="0.2">
      <c r="A811" s="127">
        <f>A810*2</f>
        <v>220</v>
      </c>
      <c r="B811" s="123">
        <f>_xlfn.IFS($I$85="x","PAINISSA",
$I$3&lt;6,SUM($C$3,$I$3)+IF(H814="x",1)-IF($C$79="x",4)-IF($I$2&lt;I814,2)-2+$I$16-$B$10+$M$94+IF($C$77="x",2)-IF($C$78="x",4)-IF($I$78="x",1)-IF($I$77="x",2)-IF($I$90="x",2)+IF($I$83="x",2)-IF($C$76="x",4)-$C$112+IF(H810="x",1)+I810+$M$77+IF(H812="x",1)+IF(J812="x",1)+IF($M$76="x",2)+J810+IF($M$85="x",1)+IF($M$113="x",1)+IF($M$120="x",2)+IF($M$119="x",2)+IF($M$105="x",1)+IF($M$110="x",1)+IF($M$111="x",2)+IF($M$112="x",4)+IF($M$108="x",1)-IF($M$109="x",1)-IF($M$99="x",1)+IF($M$90="x",1),
$I$3&lt;11,SUM($C$3,$I$3)+IF(H814="x",1)-IF($C$79="x",4)-IF($I$2&lt;I814,2)-2+$I$16-$B$10+$M$94+IF($C$77="x",2)-IF($C$78="x",4)-IF($I$78="x",1)-IF($I$77="x",2)-IF($I$90="x",2)+IF($I$83="x",2)-IF($C$76="x",4)-$C$112+IF(H810="x",1)+I810+$M$77+IF(H812="x",1)+IF(J812="x",1)+IF($M$76="x",2)+J810+IF($M$85="x",1)+IF($M$113="x",1)+IF($M$120="x",2)+IF($M$119="x",2)+IF($M$105="x",1)+IF($M$110="x",1)+IF($M$111="x",2)+IF($M$112="x",4)+IF($M$108="x",1)-IF($M$109="x",1)-IF($M$99="x",1)+IF($M$90="x",1)
&amp;"/"&amp;SUM($C$3,$I$3)+IF(H814="x",1)-IF($C$79="x",4)-IF($I$2&lt;I814,2)-2+$I$16-$B$10+$M$94+IF($C$77="x",2)-IF($C$78="x",4)-IF($I$78="x",1)-IF($I$77="x",2)-IF($I$90="x",2)+IF($I$83="x",2)-IF($C$76="x",4)-$C$112+IF(H810="x",1)+I810+$M$77+IF(H812="x",1)+IF(J812="x",1)+IF($M$76="x",2)+J810+IF($M$85="x",1)+IF($M$113="x",1)+IF($M$120="x",2)+IF($M$119="x",2)+IF($M$105="x",1)+IF($M$110="x",1)+IF($M$111="x",2)+IF($M$112="x",4)+IF($M$108="x",1)-IF($M$109="x",1)-IF($M$99="x",1)+IF($M$90="x",1)-5,
$I$3&lt;16,SUM($C$3,$I$3)+IF(H814="x",1)-IF($C$79="x",4)-IF($I$2&lt;I814,2)-2+$I$16-$B$10+$M$94+IF($C$77="x",2)-IF($C$78="x",4)-IF($I$78="x",1)-IF($I$77="x",2)-IF($I$90="x",2)+IF($I$83="x",2)-IF($C$76="x",4)-$C$112+IF(H810="x",1)+I810+$M$77+IF(H812="x",1)+IF(J812="x",1)+IF($M$76="x",2)+J810+IF($M$85="x",1)+IF($M$113="x",1)+IF($M$120="x",2)+IF($M$119="x",2)+IF($M$105="x",1)+IF($M$110="x",1)+IF($M$111="x",2)+IF($M$112="x",4)+IF($M$108="x",1)-IF($M$109="x",1)-IF($M$99="x",1)+IF($M$90="x",1)
&amp;"/"&amp;SUM($C$3,$I$3)+IF(H814="x",1)-IF($C$79="x",4)-IF($I$2&lt;I814,2)-2+$I$16-$B$10+$M$94+IF($C$77="x",2)-IF($C$78="x",4)-IF($I$78="x",1)-IF($I$77="x",2)-IF($I$90="x",2)+IF($I$83="x",2)-IF($C$76="x",4)-$C$112+IF(H810="x",1)+I810+$M$77+IF(H812="x",1)+IF(J812="x",1)+IF($M$76="x",2)+J810+IF($M$85="x",1)+IF($M$113="x",1)+IF($M$120="x",2)+IF($M$119="x",2)+IF($M$105="x",1)+IF($M$110="x",1)+IF($M$111="x",2)+IF($M$112="x",4)+IF($M$108="x",1)-IF($M$109="x",1)-IF($M$99="x",1)+IF($M$90="x",1)-5
&amp;"/"&amp;SUM($C$3,$I$3)+IF(H814="x",1)-IF($C$79="x",4)-IF($I$2&lt;I814,2)-2+$I$16-$B$10+$M$94+IF($C$77="x",2)-IF($C$78="x",4)-IF($I$78="x",1)-IF($I$77="x",2)-IF($I$90="x",2)+IF($I$83="x",2)-IF($C$76="x",4)-$C$112+IF(H810="x",1)+I810+$M$77+IF(H812="x",1)+IF(J812="x",1)+IF($M$76="x",2)+J810+IF($M$85="x",1)+IF($M$113="x",1)+IF($M$120="x",2)+IF($M$119="x",2)+IF($M$105="x",1)+IF($M$110="x",1)+IF($M$111="x",2)+IF($M$112="x",4)+IF($M$108="x",1)-IF($M$109="x",1)-IF($M$99="x",1)+IF($M$90="x",1)-10,
$I$3&gt;=16,SUM($C$3,$I$3)+IF(H814="x",1)-IF($C$79="x",4)-IF($I$2&lt;I814,2)-2+$I$16-$B$10+$M$94+IF($C$77="x",2)-IF($C$78="x",4)-IF($I$78="x",1)-IF($I$77="x",2)-IF($I$90="x",2)+IF($I$83="x",2)-IF($C$76="x",4)-$C$112+IF(H810="x",1)+I810+$M$77+IF(H812="x",1)+IF(J812="x",1)+IF($M$76="x",2)+J810+IF($M$85="x",1)+IF($M$113="x",1)+IF($M$120="x",2)+IF($M$119="x",2)+IF($M$105="x",1)+IF($M$110="x",1)+IF($M$111="x",2)+IF($M$112="x",4)+IF($M$108="x",1)-IF($M$109="x",1)-IF($M$99="x",1)+IF($M$90="x",1)
&amp;"/"&amp;SUM($C$3,$I$3)+IF(H814="x",1)-IF($C$79="x",4)-IF($I$2&lt;I814,2)-2+$I$16-$B$10+$M$94+IF($C$77="x",2)-IF($C$78="x",4)-IF($I$78="x",1)-IF($I$77="x",2)-IF($I$90="x",2)+IF($I$83="x",2)-IF($C$76="x",4)-$C$112+IF(H810="x",1)+I810+$M$77+IF(H812="x",1)+IF(J812="x",1)+IF($M$76="x",2)+J810+IF($M$85="x",1)+IF($M$113="x",1)+IF($M$120="x",2)+IF($M$119="x",2)+IF($M$105="x",1)+IF($M$110="x",1)+IF($M$111="x",2)+IF($M$112="x",4)+IF($M$108="x",1)-IF($M$109="x",1)-IF($M$99="x",1)+IF($M$90="x",1)-5
&amp;"/"&amp;SUM($C$3,$I$3)+IF(H814="x",1)-IF($C$79="x",4)-IF($I$2&lt;I814,2)-2+$I$16-$B$10+$M$94+IF($C$77="x",2)-IF($C$78="x",4)-IF($I$78="x",1)-IF($I$77="x",2)-IF($I$90="x",2)+IF($I$83="x",2)-IF($C$76="x",4)-$C$112+IF(H810="x",1)+I810+$M$77+IF(H812="x",1)+IF(J812="x",1)+IF($M$76="x",2)+J810+IF($M$85="x",1)+IF($M$113="x",1)+IF($M$120="x",2)+IF($M$119="x",2)+IF($M$105="x",1)+IF($M$110="x",1)+IF($M$111="x",2)+IF($M$112="x",4)+IF($M$108="x",1)-IF($M$109="x",1)-IF($M$99="x",1)+IF($M$90="x",1)-10
&amp;"/"&amp;SUM($C$3,$I$3)+IF(H814="x",1)-IF($C$79="x",4)-IF($I$2&lt;I814,2)-2+$I$16-$B$10+$M$94+IF($C$77="x",2)-IF($C$78="x",4)-IF($I$78="x",1)-IF($I$77="x",2)-IF($I$90="x",2)+IF($I$83="x",2)-IF($C$76="x",4)-$C$112+IF(H810="x",1)+I810+$M$77+IF(H812="x",1)+IF(J812="x",1)+IF($M$76="x",2)+J810+IF($M$85="x",1)+IF($M$113="x",1)+IF($M$120="x",2)+IF($M$119="x",2)+IF($M$105="x",1)+IF($M$110="x",1)+IF($M$111="x",2)+IF($M$112="x",4)+IF($M$108="x",1)-IF($M$109="x",1)-IF($M$99="x",1)+IF($M$90="x",1)-15)</f>
        <v>-2</v>
      </c>
      <c r="C811" s="82"/>
      <c r="D811" s="121"/>
      <c r="E811" s="82"/>
      <c r="F811" s="82"/>
      <c r="G811" s="82"/>
      <c r="H811" s="14" t="s">
        <v>220</v>
      </c>
      <c r="I811" s="14" t="s">
        <v>221</v>
      </c>
      <c r="J811" s="14" t="s">
        <v>222</v>
      </c>
      <c r="K811" s="14" t="s">
        <v>223</v>
      </c>
      <c r="N811" s="15"/>
      <c r="AB811" s="15"/>
      <c r="AC811" s="15"/>
      <c r="AD811" s="15"/>
      <c r="AE811" s="15"/>
      <c r="AF811" s="15"/>
      <c r="AG811" s="15"/>
      <c r="AH811" s="15"/>
      <c r="AI811" s="15"/>
      <c r="AJ811" s="15"/>
      <c r="AK811" s="15"/>
      <c r="AL811" s="15"/>
    </row>
    <row r="812" spans="1:38" x14ac:dyDescent="0.2">
      <c r="A812" s="126">
        <f>A810*3</f>
        <v>330</v>
      </c>
      <c r="B812" s="121">
        <f>_xlfn.IFS($I$85="x","PAINISSA",
$I$3&lt;6,SUM($C$3,$I$3)+IF(H814="x",1)-IF($C$79="x",4)-IF($I$2&lt;I814,2)-4+$I$16-$B$10+$M$94+IF($C$77="x",2)-IF($C$78="x",4)-IF($I$78="x",1)-IF($I$77="x",2)-IF($I$90="x",2)+IF($I$83="x",2)-IF($C$76="x",4)-$C$112+IF(H810="x",1)+I810+$M$77+IF(H812="x",1)+IF(J812="x",1)+IF($M$76="x",2)+J810+IF($M$85="x",1)+IF($M$113="x",1)+IF($M$120="x",2)+IF($M$119="x",2)+IF($M$105="x",1)+IF($M$110="x",1)+IF($M$111="x",2)+IF($M$112="x",4)+IF($M$108="x",1)-IF($M$109="x",1)-IF($M$99="x",1)+IF($M$90="x",1),
$I$3&lt;11,SUM($C$3,$I$3)+IF(H814="x",1)-IF($C$79="x",4)-IF($I$2&lt;I814,2)-4+$I$16-$B$10+$M$94+IF($C$77="x",2)-IF($C$78="x",4)-IF($I$78="x",1)-IF($I$77="x",2)-IF($I$90="x",2)+IF($I$83="x",2)-IF($C$76="x",4)-$C$112+IF(H810="x",1)+I810+$M$77+IF(H812="x",1)+IF(J812="x",1)+IF($M$76="x",2)+J810+IF($M$85="x",1)+IF($M$113="x",1)+IF($M$120="x",2)+IF($M$119="x",2)+IF($M$105="x",1)+IF($M$110="x",1)+IF($M$111="x",2)+IF($M$112="x",4)+IF($M$108="x",1)-IF($M$109="x",1)-IF($M$99="x",1)+IF($M$90="x",1)
&amp;"/"&amp;SUM($C$3,$I$3)+IF(H814="x",1)-IF($C$79="x",4)-IF($I$2&lt;I814,2)-4+$I$16-$B$10+$M$94+IF($C$77="x",2)-IF($C$78="x",4)-IF($I$78="x",1)-IF($I$77="x",2)-IF($I$90="x",2)+IF($I$83="x",2)-IF($C$76="x",4)-$C$112+IF(H810="x",1)+I810+$M$77+IF(H812="x",1)+IF(J812="x",1)+IF($M$76="x",2)+J810+IF($M$85="x",1)+IF($M$113="x",1)+IF($M$120="x",2)+IF($M$119="x",2)+IF($M$105="x",1)+IF($M$110="x",1)+IF($M$111="x",2)+IF($M$112="x",4)+IF($M$108="x",1)-IF($M$109="x",1)-IF($M$99="x",1)+IF($M$90="x",1)-5,
$I$3&lt;16,SUM($C$3,$I$3)+IF(H814="x",1)-IF($C$79="x",4)-IF($I$2&lt;I814,2)-4+$I$16-$B$10+$M$94+IF($C$77="x",2)-IF($C$78="x",4)-IF($I$78="x",1)-IF($I$77="x",2)-IF($I$90="x",2)+IF($I$83="x",2)-IF($C$76="x",4)-$C$112+IF(H810="x",1)+I810+$M$77+IF(H812="x",1)+IF(J812="x",1)+IF($M$76="x",2)+J810+IF($M$85="x",1)+IF($M$113="x",1)+IF($M$120="x",2)+IF($M$119="x",2)+IF($M$105="x",1)+IF($M$110="x",1)+IF($M$111="x",2)+IF($M$112="x",4)+IF($M$108="x",1)-IF($M$109="x",1)-IF($M$99="x",1)+IF($M$90="x",1)
&amp;"/"&amp;SUM($C$3,$I$3)+IF(H814="x",1)-IF($C$79="x",4)-IF($I$2&lt;I814,2)-4+$I$16-$B$10+$M$94+IF($C$77="x",2)-IF($C$78="x",4)-IF($I$78="x",1)-IF($I$77="x",2)-IF($I$90="x",2)+IF($I$83="x",2)-IF($C$76="x",4)-$C$112+IF(H810="x",1)+I810+$M$77+IF(H812="x",1)+IF(J812="x",1)+IF($M$76="x",2)+J810+IF($M$85="x",1)+IF($M$113="x",1)+IF($M$120="x",2)+IF($M$119="x",2)+IF($M$105="x",1)+IF($M$110="x",1)+IF($M$111="x",2)+IF($M$112="x",4)+IF($M$108="x",1)-IF($M$109="x",1)-IF($M$99="x",1)+IF($M$90="x",1)-5
&amp;"/"&amp;SUM($C$3,$I$3)+IF(H814="x",1)-IF($C$79="x",4)-IF($I$2&lt;I814,2)-4+$I$16-$B$10+$M$94+IF($C$77="x",2)-IF($C$78="x",4)-IF($I$78="x",1)-IF($I$77="x",2)-IF($I$90="x",2)+IF($I$83="x",2)-IF($C$76="x",4)-$C$112+IF(H810="x",1)+I810+$M$77+IF(H812="x",1)+IF(J812="x",1)+IF($M$76="x",2)+J810+IF($M$85="x",1)+IF($M$113="x",1)+IF($M$120="x",2)+IF($M$119="x",2)+IF($M$105="x",1)+IF($M$110="x",1)+IF($M$111="x",2)+IF($M$112="x",4)+IF($M$108="x",1)-IF($M$109="x",1)-IF($M$99="x",1)+IF($M$90="x",1)-10,
$I$3&gt;=16,SUM($C$3,$I$3)+IF(H814="x",1)-IF($C$79="x",4)-IF($I$2&lt;I814,2)-4+$I$16-$B$10+$M$94+IF($C$77="x",2)-IF($C$78="x",4)-IF($I$78="x",1)-IF($I$77="x",2)-IF($I$90="x",2)+IF($I$83="x",2)-IF($C$76="x",4)-$C$112+IF(H810="x",1)+I810+$M$77+IF(H812="x",1)+IF(J812="x",1)+IF($M$76="x",2)+J810+IF($M$85="x",1)+IF($M$113="x",1)+IF($M$120="x",2)+IF($M$119="x",2)+IF($M$105="x",1)+IF($M$110="x",1)+IF($M$111="x",2)+IF($M$112="x",4)+IF($M$108="x",1)-IF($M$109="x",1)-IF($M$99="x",1)+IF($M$90="x",1)
&amp;"/"&amp;SUM($C$3,$I$3)+IF(H814="x",1)-IF($C$79="x",4)-IF($I$2&lt;I814,2)-4+$I$16-$B$10+$M$94+IF($C$77="x",2)-IF($C$78="x",4)-IF($I$78="x",1)-IF($I$77="x",2)-IF($I$90="x",2)+IF($I$83="x",2)-IF($C$76="x",4)-$C$112+IF(H810="x",1)+I810+$M$77+IF(H812="x",1)+IF(J812="x",1)+IF($M$76="x",2)+J810+IF($M$85="x",1)+IF($M$113="x",1)+IF($M$120="x",2)+IF($M$119="x",2)+IF($M$105="x",1)+IF($M$110="x",1)+IF($M$111="x",2)+IF($M$112="x",4)+IF($M$108="x",1)-IF($M$109="x",1)-IF($M$99="x",1)+IF($M$90="x",1)-5
&amp;"/"&amp;SUM($C$3,$I$3)+IF(H814="x",1)-IF($C$79="x",4)-IF($I$2&lt;I814,2)-4+$I$16-$B$10+$M$94+IF($C$77="x",2)-IF($C$78="x",4)-IF($I$78="x",1)-IF($I$77="x",2)-IF($I$90="x",2)+IF($I$83="x",2)-IF($C$76="x",4)-$C$112+IF(H810="x",1)+I810+$M$77+IF(H812="x",1)+IF(J812="x",1)+IF($M$76="x",2)+J810+IF($M$85="x",1)+IF($M$113="x",1)+IF($M$120="x",2)+IF($M$119="x",2)+IF($M$105="x",1)+IF($M$110="x",1)+IF($M$111="x",2)+IF($M$112="x",4)+IF($M$108="x",1)-IF($M$109="x",1)-IF($M$99="x",1)+IF($M$90="x",1)-10
&amp;"/"&amp;SUM($C$3,$I$3)+IF(H814="x",1)-IF($C$79="x",4)-IF($I$2&lt;I814,2)-4+$I$16-$B$10+$M$94+IF($C$77="x",2)-IF($C$78="x",4)-IF($I$78="x",1)-IF($I$77="x",2)-IF($I$90="x",2)+IF($I$83="x",2)-IF($C$76="x",4)-$C$112+IF(H810="x",1)+I810+$M$77+IF(H812="x",1)+IF(J812="x",1)+IF($M$76="x",2)+J810+IF($M$85="x",1)+IF($M$113="x",1)+IF($M$120="x",2)+IF($M$119="x",2)+IF($M$105="x",1)+IF($M$110="x",1)+IF($M$111="x",2)+IF($M$112="x",4)+IF($M$108="x",1)-IF($M$109="x",1)-IF($M$99="x",1)+IF($M$90="x",1)-15)</f>
        <v>-4</v>
      </c>
      <c r="C812" s="82"/>
      <c r="D812" s="121"/>
      <c r="E812" s="82"/>
      <c r="F812" s="82"/>
      <c r="G812" s="82"/>
      <c r="H812" s="28"/>
      <c r="I812" s="28"/>
      <c r="J812" s="28"/>
      <c r="K812" s="28"/>
      <c r="N812" s="15"/>
      <c r="AB812" s="15"/>
      <c r="AC812" s="15"/>
      <c r="AD812" s="15"/>
      <c r="AE812" s="15"/>
      <c r="AF812" s="15"/>
      <c r="AG812" s="15"/>
      <c r="AH812" s="15"/>
      <c r="AI812" s="15"/>
      <c r="AJ812" s="15"/>
      <c r="AK812" s="15"/>
      <c r="AL812" s="15"/>
    </row>
    <row r="813" spans="1:38" x14ac:dyDescent="0.2">
      <c r="A813" s="127">
        <f>A810*4</f>
        <v>440</v>
      </c>
      <c r="B813" s="123">
        <f>_xlfn.IFS($I$85="x","PAINISSA",
$I$3&lt;6,SUM($C$3,$I$3)+IF(H814="x",1)-IF($C$79="x",4)-IF($I$2&lt;I814,2)-6+$I$16-$B$10+$M$94+IF($C$77="x",2)-IF($C$78="x",4)-IF($I$78="x",1)-IF($I$77="x",2)-IF($I$90="x",2)+IF($I$83="x",2)-IF($C$76="x",4)-$C$112+IF(H810="x",1)+I810+$M$77+IF(H812="x",1)+IF(J812="x",1)+IF($M$76="x",2)+J810+IF($M$85="x",1)+IF($M$113="x",1)+IF($M$120="x",2)+IF($M$119="x",2)+IF($M$105="x",1)+IF($M$110="x",1)+IF($M$111="x",2)+IF($M$112="x",4)+IF($M$108="x",1)-IF($M$109="x",1)-IF($M$99="x",1)+IF($M$90="x",1),
$I$3&lt;11,SUM($C$3,$I$3)+IF(H814="x",1)-IF($C$79="x",4)-IF($I$2&lt;I814,2)-6+$I$16-$B$10+$M$94+IF($C$77="x",2)-IF($C$78="x",4)-IF($I$78="x",1)-IF($I$77="x",2)-IF($I$90="x",2)+IF($I$83="x",2)-IF($C$76="x",4)-$C$112+IF(H810="x",1)+I810+$M$77+IF(H812="x",1)+IF(J812="x",1)+IF($M$76="x",2)+J810+IF($M$85="x",1)+IF($M$113="x",1)+IF($M$120="x",2)+IF($M$119="x",2)+IF($M$105="x",1)+IF($M$110="x",1)+IF($M$111="x",2)+IF($M$112="x",4)+IF($M$108="x",1)-IF($M$109="x",1)-IF($M$99="x",1)+IF($M$90="x",1)
&amp;"/"&amp;SUM($C$3,$I$3)+IF(H814="x",1)-IF($C$79="x",4)-IF($I$2&lt;I814,2)-6+$I$16-$B$10+$M$94+IF($C$77="x",2)-IF($C$78="x",4)-IF($I$78="x",1)-IF($I$77="x",2)-IF($I$90="x",2)+IF($I$83="x",2)-IF($C$76="x",4)-$C$112+IF(H810="x",1)+I810+$M$77+IF(H812="x",1)+IF(J812="x",1)+IF($M$76="x",2)+J810+IF($M$85="x",1)+IF($M$113="x",1)+IF($M$120="x",2)+IF($M$119="x",2)+IF($M$105="x",1)+IF($M$110="x",1)+IF($M$111="x",2)+IF($M$112="x",4)+IF($M$108="x",1)-IF($M$109="x",1)-IF($M$99="x",1)+IF($M$90="x",1)-5,
$I$3&lt;16,SUM($C$3,$I$3)+IF(H814="x",1)-IF($C$79="x",4)-IF($I$2&lt;I814,2)-6+$I$16-$B$10+$M$94+IF($C$77="x",2)-IF($C$78="x",4)-IF($I$78="x",1)-IF($I$77="x",2)-IF($I$90="x",2)+IF($I$83="x",2)-IF($C$76="x",4)-$C$112+IF(H810="x",1)+I810+$M$77+IF(H812="x",1)+IF(J812="x",1)+IF($M$76="x",2)+J810+IF($M$85="x",1)+IF($M$113="x",1)+IF($M$120="x",2)+IF($M$119="x",2)+IF($M$105="x",1)+IF($M$110="x",1)+IF($M$111="x",2)+IF($M$112="x",4)+IF($M$108="x",1)-IF($M$109="x",1)-IF($M$99="x",1)+IF($M$90="x",1)
&amp;"/"&amp;SUM($C$3,$I$3)+IF(H814="x",1)-IF($C$79="x",4)-IF($I$2&lt;I814,2)-6+$I$16-$B$10+$M$94+IF($C$77="x",2)-IF($C$78="x",4)-IF($I$78="x",1)-IF($I$77="x",2)-IF($I$90="x",2)+IF($I$83="x",2)-IF($C$76="x",4)-$C$112+IF(H810="x",1)+I810+$M$77+IF(H812="x",1)+IF(J812="x",1)+IF($M$76="x",2)+J810+IF($M$85="x",1)+IF($M$113="x",1)+IF($M$120="x",2)+IF($M$119="x",2)+IF($M$105="x",1)+IF($M$110="x",1)+IF($M$111="x",2)+IF($M$112="x",4)+IF($M$108="x",1)-IF($M$109="x",1)-IF($M$99="x",1)+IF($M$90="x",1)-5
&amp;"/"&amp;SUM($C$3,$I$3)+IF(H814="x",1)-IF($C$79="x",4)-IF($I$2&lt;I814,2)-6+$I$16-$B$10+$M$94+IF($C$77="x",2)-IF($C$78="x",4)-IF($I$78="x",1)-IF($I$77="x",2)-IF($I$90="x",2)+IF($I$83="x",2)-IF($C$76="x",4)-$C$112+IF(H810="x",1)+I810+$M$77+IF(H812="x",1)+IF(J812="x",1)+IF($M$76="x",2)+J810+IF($M$85="x",1)+IF($M$113="x",1)+IF($M$120="x",2)+IF($M$119="x",2)+IF($M$105="x",1)+IF($M$110="x",1)+IF($M$111="x",2)+IF($M$112="x",4)+IF($M$108="x",1)-IF($M$109="x",1)-IF($M$99="x",1)+IF($M$90="x",1)-10,
$I$3&gt;=16,SUM($C$3,$I$3)+IF(H814="x",1)-IF($C$79="x",4)-IF($I$2&lt;I814,2)-6+$I$16-$B$10+$M$94+IF($C$77="x",2)-IF($C$78="x",4)-IF($I$78="x",1)-IF($I$77="x",2)-IF($I$90="x",2)+IF($I$83="x",2)-IF($C$76="x",4)-$C$112+IF(H810="x",1)+I810+$M$77+IF(H812="x",1)+IF(J812="x",1)+IF($M$76="x",2)+J810+IF($M$85="x",1)+IF($M$113="x",1)+IF($M$120="x",2)+IF($M$119="x",2)+IF($M$105="x",1)+IF($M$110="x",1)+IF($M$111="x",2)+IF($M$112="x",4)+IF($M$108="x",1)-IF($M$109="x",1)-IF($M$99="x",1)+IF($M$90="x",1)
&amp;"/"&amp;SUM($C$3,$I$3)+IF(H814="x",1)-IF($C$79="x",4)-IF($I$2&lt;I814,2)-6+$I$16-$B$10+$M$94+IF($C$77="x",2)-IF($C$78="x",4)-IF($I$78="x",1)-IF($I$77="x",2)-IF($I$90="x",2)+IF($I$83="x",2)-IF($C$76="x",4)-$C$112+IF(H810="x",1)+I810+$M$77+IF(H812="x",1)+IF(J812="x",1)+IF($M$76="x",2)+J810+IF($M$85="x",1)+IF($M$113="x",1)+IF($M$120="x",2)+IF($M$119="x",2)+IF($M$105="x",1)+IF($M$110="x",1)+IF($M$111="x",2)+IF($M$112="x",4)+IF($M$108="x",1)-IF($M$109="x",1)-IF($M$99="x",1)+IF($M$90="x",1)-5
&amp;"/"&amp;SUM($C$3,$I$3)+IF(H814="x",1)-IF($C$79="x",4)-IF($I$2&lt;I814,2)-6+$I$16-$B$10+$M$94+IF($C$77="x",2)-IF($C$78="x",4)-IF($I$78="x",1)-IF($I$77="x",2)-IF($I$90="x",2)+IF($I$83="x",2)-IF($C$76="x",4)-$C$112+IF(H810="x",1)+I810+$M$77+IF(H812="x",1)+IF(J812="x",1)+IF($M$76="x",2)+J810+IF($M$85="x",1)+IF($M$113="x",1)+IF($M$120="x",2)+IF($M$119="x",2)+IF($M$105="x",1)+IF($M$110="x",1)+IF($M$111="x",2)+IF($M$112="x",4)+IF($M$108="x",1)-IF($M$109="x",1)-IF($M$99="x",1)+IF($M$90="x",1)-10
&amp;"/"&amp;SUM($C$3,$I$3)+IF(H814="x",1)-IF($C$79="x",4)-IF($I$2&lt;I814,2)-6+$I$16-$B$10+$M$94+IF($C$77="x",2)-IF($C$78="x",4)-IF($I$78="x",1)-IF($I$77="x",2)-IF($I$90="x",2)+IF($I$83="x",2)-IF($C$76="x",4)-$C$112+IF(H810="x",1)+I810+$M$77+IF(H812="x",1)+IF(J812="x",1)+IF($M$76="x",2)+J810+IF($M$85="x",1)+IF($M$113="x",1)+IF($M$120="x",2)+IF($M$119="x",2)+IF($M$105="x",1)+IF($M$110="x",1)+IF($M$111="x",2)+IF($M$112="x",4)+IF($M$108="x",1)-IF($M$109="x",1)-IF($M$99="x",1)+IF($M$90="x",1)-15)</f>
        <v>-6</v>
      </c>
      <c r="C813" s="82"/>
      <c r="D813" s="121"/>
      <c r="E813" s="82"/>
      <c r="F813" s="82"/>
      <c r="G813" s="82"/>
      <c r="H813" s="14" t="s">
        <v>182</v>
      </c>
      <c r="I813" s="11" t="s">
        <v>228</v>
      </c>
      <c r="N813" s="15"/>
      <c r="AB813" s="15"/>
      <c r="AC813" s="15"/>
      <c r="AD813" s="15"/>
      <c r="AE813" s="15"/>
      <c r="AF813" s="15"/>
      <c r="AG813" s="15"/>
      <c r="AH813" s="15"/>
      <c r="AI813" s="15"/>
      <c r="AJ813" s="15"/>
      <c r="AK813" s="15"/>
      <c r="AL813" s="15"/>
    </row>
    <row r="814" spans="1:38" x14ac:dyDescent="0.2">
      <c r="A814" s="126">
        <f>A810*5</f>
        <v>550</v>
      </c>
      <c r="B814" s="121">
        <f>_xlfn.IFS($I$85="x","PAINISSA",
$I$3&lt;6,SUM($C$3,$I$3)+IF(H814="x",1)-IF($C$79="x",4)-IF($I$2&lt;I814,2)-8+$I$16-$B$10+$M$94+IF($C$77="x",2)-IF($C$78="x",4)-IF($I$78="x",1)-IF($I$77="x",2)-IF($I$90="x",2)+IF($I$83="x",2)-IF($C$76="x",4)-$C$112+IF(H810="x",1)+I810+$M$77+IF(H812="x",1)+IF(J812="x",1)+IF($M$76="x",2)+J810+IF($M$85="x",1)+IF($M$113="x",1)+IF($M$120="x",2)+IF($M$119="x",2)+IF($M$105="x",1)+IF($M$110="x",1)+IF($M$111="x",2)+IF($M$112="x",4)+IF($M$108="x",1)-IF($M$109="x",1)-IF($M$99="x",1)+IF($M$90="x",1),
$I$3&lt;11,SUM($C$3,$I$3)+IF(H814="x",1)-IF($C$79="x",4)-IF($I$2&lt;I814,2)-8+$I$16-$B$10+$M$94+IF($C$77="x",2)-IF($C$78="x",4)-IF($I$78="x",1)-IF($I$77="x",2)-IF($I$90="x",2)+IF($I$83="x",2)-IF($C$76="x",4)-$C$112+IF(H810="x",1)+I810+$M$77+IF(H812="x",1)+IF(J812="x",1)+IF($M$76="x",2)+J810+IF($M$85="x",1)+IF($M$113="x",1)+IF($M$120="x",2)+IF($M$119="x",2)+IF($M$105="x",1)+IF($M$110="x",1)+IF($M$111="x",2)+IF($M$112="x",4)+IF($M$108="x",1)-IF($M$109="x",1)-IF($M$99="x",1)+IF($M$90="x",1)
&amp;"/"&amp;SUM($C$3,$I$3)+IF(H814="x",1)-IF($C$79="x",4)-IF($I$2&lt;I814,2)-8+$I$16-$B$10+$M$94+IF($C$77="x",2)-IF($C$78="x",4)-IF($I$78="x",1)-IF($I$77="x",2)-IF($I$90="x",2)+IF($I$83="x",2)-IF($C$76="x",4)-$C$112+IF(H810="x",1)+I810+$M$77+IF(H812="x",1)+IF(J812="x",1)+IF($M$76="x",2)+J810+IF($M$85="x",1)+IF($M$113="x",1)+IF($M$120="x",2)+IF($M$119="x",2)+IF($M$105="x",1)+IF($M$110="x",1)+IF($M$111="x",2)+IF($M$112="x",4)+IF($M$108="x",1)-IF($M$109="x",1)-IF($M$99="x",1)+IF($M$90="x",1)-5,
$I$3&lt;16,SUM($C$3,$I$3)+IF(H814="x",1)-IF($C$79="x",4)-IF($I$2&lt;I814,2)-8+$I$16-$B$10+$M$94+IF($C$77="x",2)-IF($C$78="x",4)-IF($I$78="x",1)-IF($I$77="x",2)-IF($I$90="x",2)+IF($I$83="x",2)-IF($C$76="x",4)-$C$112+IF(H810="x",1)+I810+$M$77+IF(H812="x",1)+IF(J812="x",1)+IF($M$76="x",2)+J810+IF($M$85="x",1)+IF($M$113="x",1)+IF($M$120="x",2)+IF($M$119="x",2)+IF($M$105="x",1)+IF($M$110="x",1)+IF($M$111="x",2)+IF($M$112="x",4)+IF($M$108="x",1)-IF($M$109="x",1)-IF($M$99="x",1)+IF($M$90="x",1)
&amp;"/"&amp;SUM($C$3,$I$3)+IF(H814="x",1)-IF($C$79="x",4)-IF($I$2&lt;I814,2)-8+$I$16-$B$10+$M$94+IF($C$77="x",2)-IF($C$78="x",4)-IF($I$78="x",1)-IF($I$77="x",2)-IF($I$90="x",2)+IF($I$83="x",2)-IF($C$76="x",4)-$C$112+IF(H810="x",1)+I810+$M$77+IF(H812="x",1)+IF(J812="x",1)+IF($M$76="x",2)+J810+IF($M$85="x",1)+IF($M$113="x",1)+IF($M$120="x",2)+IF($M$119="x",2)+IF($M$105="x",1)+IF($M$110="x",1)+IF($M$111="x",2)+IF($M$112="x",4)+IF($M$108="x",1)-IF($M$109="x",1)-IF($M$99="x",1)+IF($M$90="x",1)-5
&amp;"/"&amp;SUM($C$3,$I$3)+IF(H814="x",1)-IF($C$79="x",4)-IF($I$2&lt;I814,2)-8+$I$16-$B$10+$M$94+IF($C$77="x",2)-IF($C$78="x",4)-IF($I$78="x",1)-IF($I$77="x",2)-IF($I$90="x",2)+IF($I$83="x",2)-IF($C$76="x",4)-$C$112+IF(H810="x",1)+I810+$M$77+IF(H812="x",1)+IF(J812="x",1)+IF($M$76="x",2)+J810+IF($M$85="x",1)+IF($M$113="x",1)+IF($M$120="x",2)+IF($M$119="x",2)+IF($M$105="x",1)+IF($M$110="x",1)+IF($M$111="x",2)+IF($M$112="x",4)+IF($M$108="x",1)-IF($M$109="x",1)-IF($M$99="x",1)+IF($M$90="x",1)-10,
$I$3&gt;=16,SUM($C$3,$I$3)+IF(H814="x",1)-IF($C$79="x",4)-IF($I$2&lt;I814,2)-8+$I$16-$B$10+$M$94+IF($C$77="x",2)-IF($C$78="x",4)-IF($I$78="x",1)-IF($I$77="x",2)-IF($I$90="x",2)+IF($I$83="x",2)-IF($C$76="x",4)-$C$112+IF(H810="x",1)+I810+$M$77+IF(H812="x",1)+IF(J812="x",1)+IF($M$76="x",2)+J810+IF($M$85="x",1)+IF($M$113="x",1)+IF($M$120="x",2)+IF($M$119="x",2)+IF($M$105="x",1)+IF($M$110="x",1)+IF($M$111="x",2)+IF($M$112="x",4)+IF($M$108="x",1)-IF($M$109="x",1)-IF($M$99="x",1)+IF($M$90="x",1)
&amp;"/"&amp;SUM($C$3,$I$3)+IF(H814="x",1)-IF($C$79="x",4)-IF($I$2&lt;I814,2)-8+$I$16-$B$10+$M$94+IF($C$77="x",2)-IF($C$78="x",4)-IF($I$78="x",1)-IF($I$77="x",2)-IF($I$90="x",2)+IF($I$83="x",2)-IF($C$76="x",4)-$C$112+IF(H810="x",1)+I810+$M$77+IF(H812="x",1)+IF(J812="x",1)+IF($M$76="x",2)+J810+IF($M$85="x",1)+IF($M$113="x",1)+IF($M$120="x",2)+IF($M$119="x",2)+IF($M$105="x",1)+IF($M$110="x",1)+IF($M$111="x",2)+IF($M$112="x",4)+IF($M$108="x",1)-IF($M$109="x",1)-IF($M$99="x",1)+IF($M$90="x",1)-5
&amp;"/"&amp;SUM($C$3,$I$3)+IF(H814="x",1)-IF($C$79="x",4)-IF($I$2&lt;I814,2)-8+$I$16-$B$10+$M$94+IF($C$77="x",2)-IF($C$78="x",4)-IF($I$78="x",1)-IF($I$77="x",2)-IF($I$90="x",2)+IF($I$83="x",2)-IF($C$76="x",4)-$C$112+IF(H810="x",1)+I810+$M$77+IF(H812="x",1)+IF(J812="x",1)+IF($M$76="x",2)+J810+IF($M$85="x",1)+IF($M$113="x",1)+IF($M$120="x",2)+IF($M$119="x",2)+IF($M$105="x",1)+IF($M$110="x",1)+IF($M$111="x",2)+IF($M$112="x",4)+IF($M$108="x",1)-IF($M$109="x",1)-IF($M$99="x",1)+IF($M$90="x",1)-10
&amp;"/"&amp;SUM($C$3,$I$3)+IF(H814="x",1)-IF($C$79="x",4)-IF($I$2&lt;I814,2)-8+$I$16-$B$10+$M$94+IF($C$77="x",2)-IF($C$78="x",4)-IF($I$78="x",1)-IF($I$77="x",2)-IF($I$90="x",2)+IF($I$83="x",2)-IF($C$76="x",4)-$C$112+IF(H810="x",1)+I810+$M$77+IF(H812="x",1)+IF(J812="x",1)+IF($M$76="x",2)+J810+IF($M$85="x",1)+IF($M$113="x",1)+IF($M$120="x",2)+IF($M$119="x",2)+IF($M$105="x",1)+IF($M$110="x",1)+IF($M$111="x",2)+IF($M$112="x",4)+IF($M$108="x",1)-IF($M$109="x",1)-IF($M$99="x",1)+IF($M$90="x",1)-15)</f>
        <v>-8</v>
      </c>
      <c r="C814" s="82"/>
      <c r="D814" s="121"/>
      <c r="E814" s="82"/>
      <c r="F814" s="82"/>
      <c r="G814" s="82"/>
      <c r="H814" s="28"/>
      <c r="I814" s="17">
        <v>0</v>
      </c>
      <c r="K814" s="25"/>
      <c r="N814" s="15"/>
      <c r="AB814" s="15"/>
      <c r="AC814" s="15"/>
      <c r="AD814" s="15"/>
      <c r="AE814" s="15"/>
      <c r="AF814" s="15"/>
      <c r="AG814" s="15"/>
      <c r="AH814" s="15"/>
      <c r="AI814" s="15"/>
      <c r="AJ814" s="15"/>
      <c r="AK814" s="15"/>
      <c r="AL814" s="15"/>
    </row>
    <row r="815" spans="1:38" x14ac:dyDescent="0.2">
      <c r="A815" s="127">
        <f>A810*6</f>
        <v>660</v>
      </c>
      <c r="B815" s="123">
        <f>_xlfn.IFS($I$85="x","PAINISSA",
$I$3&lt;6,SUM($C$3,$I$3)+IF(H814="x",1)-IF($C$79="x",4)-IF($I$2&lt;I814,2)-10+$I$16-$B$10+$M$94+IF($C$77="x",2)-IF($C$78="x",4)-IF($I$78="x",1)-IF($I$77="x",2)-IF($I$90="x",2)+IF($I$83="x",2)-IF($C$76="x",4)-$C$112+IF(H810="x",1)+I810+$M$77+IF(H812="x",1)+IF(J812="x",1)+IF($M$76="x",2)+J810+IF($M$85="x",1)+IF($M$113="x",1)+IF($M$120="x",2)+IF($M$119="x",2)+IF($M$105="x",1)+IF($M$110="x",1)+IF($M$111="x",2)+IF($M$112="x",4)+IF($M$108="x",1)-IF($M$109="x",1)-IF($M$99="x",1)+IF($M$90="x",1),
$I$3&lt;11,SUM($C$3,$I$3)+IF(H814="x",1)-IF($C$79="x",4)-IF($I$2&lt;I814,2)-10+$I$16-$B$10+$M$94+IF($C$77="x",2)-IF($C$78="x",4)-IF($I$78="x",1)-IF($I$77="x",2)-IF($I$90="x",2)+IF($I$83="x",2)-IF($C$76="x",4)-$C$112+IF(H810="x",1)+I810+$M$77+IF(H812="x",1)+IF(J812="x",1)+IF($M$76="x",2)+J810+IF($M$85="x",1)+IF($M$113="x",1)+IF($M$120="x",2)+IF($M$119="x",2)+IF($M$105="x",1)+IF($M$110="x",1)+IF($M$111="x",2)+IF($M$112="x",4)+IF($M$108="x",1)-IF($M$109="x",1)-IF($M$99="x",1)+IF($M$90="x",1)
&amp;"/"&amp;SUM($C$3,$I$3)+IF(H814="x",1)-IF($C$79="x",4)-IF($I$2&lt;I814,2)-10+$I$16-$B$10+$M$94+IF($C$77="x",2)-IF($C$78="x",4)-IF($I$78="x",1)-IF($I$77="x",2)-IF($I$90="x",2)+IF($I$83="x",2)-IF($C$76="x",4)-$C$112+IF(H810="x",1)+I810+$M$77+IF(H812="x",1)+IF(J812="x",1)+IF($M$76="x",2)+J810+IF($M$85="x",1)+IF($M$113="x",1)+IF($M$120="x",2)+IF($M$119="x",2)+IF($M$105="x",1)+IF($M$110="x",1)+IF($M$111="x",2)+IF($M$112="x",4)+IF($M$108="x",1)-IF($M$109="x",1)-IF($M$99="x",1)+IF($M$90="x",1)-5,
$I$3&lt;16,SUM($C$3,$I$3)+IF(H814="x",1)-IF($C$79="x",4)-IF($I$2&lt;I814,2)-10+$I$16-$B$10+$M$94+IF($C$77="x",2)-IF($C$78="x",4)-IF($I$78="x",1)-IF($I$77="x",2)-IF($I$90="x",2)+IF($I$83="x",2)-IF($C$76="x",4)-$C$112+IF(H810="x",1)+I810+$M$77+IF(H812="x",1)+IF(J812="x",1)+IF($M$76="x",2)+J810+IF($M$85="x",1)+IF($M$113="x",1)+IF($M$120="x",2)+IF($M$119="x",2)+IF($M$105="x",1)+IF($M$110="x",1)+IF($M$111="x",2)+IF($M$112="x",4)+IF($M$108="x",1)-IF($M$109="x",1)-IF($M$99="x",1)+IF($M$90="x",1)
&amp;"/"&amp;SUM($C$3,$I$3)+IF(H814="x",1)-IF($C$79="x",4)-IF($I$2&lt;I814,2)-10+$I$16-$B$10+$M$94+IF($C$77="x",2)-IF($C$78="x",4)-IF($I$78="x",1)-IF($I$77="x",2)-IF($I$90="x",2)+IF($I$83="x",2)-IF($C$76="x",4)-$C$112+IF(H810="x",1)+I810+$M$77+IF(H812="x",1)+IF(J812="x",1)+IF($M$76="x",2)+J810+IF($M$85="x",1)+IF($M$113="x",1)+IF($M$120="x",2)+IF($M$119="x",2)+IF($M$105="x",1)+IF($M$110="x",1)+IF($M$111="x",2)+IF($M$112="x",4)+IF($M$108="x",1)-IF($M$109="x",1)-IF($M$99="x",1)+IF($M$90="x",1)-5
&amp;"/"&amp;SUM($C$3,$I$3)+IF(H814="x",1)-IF($C$79="x",4)-IF($I$2&lt;I814,2)-10+$I$16-$B$10+$M$94+IF($C$77="x",2)-IF($C$78="x",4)-IF($I$78="x",1)-IF($I$77="x",2)-IF($I$90="x",2)+IF($I$83="x",2)-IF($C$76="x",4)-$C$112+IF(H810="x",1)+I810+$M$77+IF(H812="x",1)+IF(J812="x",1)+IF($M$76="x",2)+J810+IF($M$85="x",1)+IF($M$113="x",1)+IF($M$120="x",2)+IF($M$119="x",2)+IF($M$105="x",1)+IF($M$110="x",1)+IF($M$111="x",2)+IF($M$112="x",4)+IF($M$108="x",1)-IF($M$109="x",1)-IF($M$99="x",1)+IF($M$90="x",1)-10,
$I$3&gt;=16,SUM($C$3,$I$3)+IF(H814="x",1)-IF($C$79="x",4)-IF($I$2&lt;I814,2)-10+$I$16-$B$10+$M$94+IF($C$77="x",2)-IF($C$78="x",4)-IF($I$78="x",1)-IF($I$77="x",2)-IF($I$90="x",2)+IF($I$83="x",2)-IF($C$76="x",4)-$C$112+IF(H810="x",1)+I810+$M$77+IF(H812="x",1)+IF(J812="x",1)+IF($M$76="x",2)+J810+IF($M$85="x",1)+IF($M$113="x",1)+IF($M$120="x",2)+IF($M$119="x",2)+IF($M$105="x",1)+IF($M$110="x",1)+IF($M$111="x",2)+IF($M$112="x",4)+IF($M$108="x",1)-IF($M$109="x",1)-IF($M$99="x",1)+IF($M$90="x",1)
&amp;"/"&amp;SUM($C$3,$I$3)+IF(H814="x",1)-IF($C$79="x",4)-IF($I$2&lt;I814,2)-10+$I$16-$B$10+$M$94+IF($C$77="x",2)-IF($C$78="x",4)-IF($I$78="x",1)-IF($I$77="x",2)-IF($I$90="x",2)+IF($I$83="x",2)-IF($C$76="x",4)-$C$112+IF(H810="x",1)+I810+$M$77+IF(H812="x",1)+IF(J812="x",1)+IF($M$76="x",2)+J810+IF($M$85="x",1)+IF($M$113="x",1)+IF($M$120="x",2)+IF($M$119="x",2)+IF($M$105="x",1)+IF($M$110="x",1)+IF($M$111="x",2)+IF($M$112="x",4)+IF($M$108="x",1)-IF($M$109="x",1)-IF($M$99="x",1)+IF($M$90="x",1)-5
&amp;"/"&amp;SUM($C$3,$I$3)+IF(H814="x",1)-IF($C$79="x",4)-IF($I$2&lt;I814,2)-10+$I$16-$B$10+$M$94+IF($C$77="x",2)-IF($C$78="x",4)-IF($I$78="x",1)-IF($I$77="x",2)-IF($I$90="x",2)+IF($I$83="x",2)-IF($C$76="x",4)-$C$112+IF(H810="x",1)+I810+$M$77+IF(H812="x",1)+IF(J812="x",1)+IF($M$76="x",2)+J810+IF($M$85="x",1)+IF($M$113="x",1)+IF($M$120="x",2)+IF($M$119="x",2)+IF($M$105="x",1)+IF($M$110="x",1)+IF($M$111="x",2)+IF($M$112="x",4)+IF($M$108="x",1)-IF($M$109="x",1)-IF($M$99="x",1)+IF($M$90="x",1)-10
&amp;"/"&amp;SUM($C$3,$I$3)+IF(H814="x",1)-IF($C$79="x",4)-IF($I$2&lt;I814,2)-10+$I$16-$B$10+$M$94+IF($C$77="x",2)-IF($C$78="x",4)-IF($I$78="x",1)-IF($I$77="x",2)-IF($I$90="x",2)+IF($I$83="x",2)-IF($C$76="x",4)-$C$112+IF(H810="x",1)+I810+$M$77+IF(H812="x",1)+IF(J812="x",1)+IF($M$76="x",2)+J810+IF($M$85="x",1)+IF($M$113="x",1)+IF($M$120="x",2)+IF($M$119="x",2)+IF($M$105="x",1)+IF($M$110="x",1)+IF($M$111="x",2)+IF($M$112="x",4)+IF($M$108="x",1)-IF($M$109="x",1)-IF($M$99="x",1)+IF($M$90="x",1)-15)</f>
        <v>-10</v>
      </c>
      <c r="C815" s="82"/>
      <c r="D815" s="121"/>
      <c r="E815" s="82"/>
      <c r="F815" s="82"/>
      <c r="G815" s="82"/>
      <c r="H815" s="82"/>
      <c r="I815" s="25"/>
      <c r="J815" s="64"/>
      <c r="K815" s="64"/>
      <c r="N815" s="15"/>
      <c r="AB815" s="15"/>
      <c r="AC815" s="15"/>
      <c r="AD815" s="15"/>
      <c r="AE815" s="15"/>
      <c r="AF815" s="15"/>
      <c r="AG815" s="15"/>
      <c r="AH815" s="15"/>
      <c r="AI815" s="15"/>
      <c r="AJ815" s="15"/>
      <c r="AK815" s="15"/>
      <c r="AL815" s="15"/>
    </row>
    <row r="816" spans="1:38" x14ac:dyDescent="0.2">
      <c r="A816" s="126">
        <f>A810*7</f>
        <v>770</v>
      </c>
      <c r="B816" s="121">
        <f>_xlfn.IFS($I$85="x","PAINISSA",
$I$3&lt;6,SUM($C$3,$I$3)+IF(H814="x",1)-IF($C$79="x",4)-IF($I$2&lt;I814,2)-12+$I$16-$B$10+$M$94+IF($C$77="x",2)-IF($C$78="x",4)-IF($I$78="x",1)-IF($I$77="x",2)-IF($I$90="x",2)+IF($I$83="x",2)-IF($C$76="x",4)-$C$112+IF(H810="x",1)+I810+$M$77+IF(H812="x",1)+IF(J812="x",1)+IF($M$76="x",2)+J810+IF($M$85="x",1)+IF($M$113="x",1)+IF($M$120="x",2)+IF($M$119="x",2)+IF($M$105="x",1)+IF($M$110="x",1)+IF($M$111="x",2)+IF($M$112="x",4)+IF($M$108="x",1)-IF($M$109="x",1)-IF($M$99="x",1)+IF($M$90="x",1),
$I$3&lt;11,SUM($C$3,$I$3)+IF(H814="x",1)-IF($C$79="x",4)-IF($I$2&lt;I814,2)-12+$I$16-$B$10+$M$94+IF($C$77="x",2)-IF($C$78="x",4)-IF($I$78="x",1)-IF($I$77="x",2)-IF($I$90="x",2)+IF($I$83="x",2)-IF($C$76="x",4)-$C$112+IF(H810="x",1)+I810+$M$77+IF(H812="x",1)+IF(J812="x",1)+IF($M$76="x",2)+J810+IF($M$85="x",1)+IF($M$113="x",1)+IF($M$120="x",2)+IF($M$119="x",2)+IF($M$105="x",1)+IF($M$110="x",1)+IF($M$111="x",2)+IF($M$112="x",4)+IF($M$108="x",1)-IF($M$109="x",1)-IF($M$99="x",1)+IF($M$90="x",1)
&amp;"/"&amp;SUM($C$3,$I$3)+IF(H814="x",1)-IF($C$79="x",4)-IF($I$2&lt;I814,2)-12+$I$16-$B$10+$M$94+IF($C$77="x",2)-IF($C$78="x",4)-IF($I$78="x",1)-IF($I$77="x",2)-IF($I$90="x",2)+IF($I$83="x",2)-IF($C$76="x",4)-$C$112+IF(H810="x",1)+I810+$M$77+IF(H812="x",1)+IF(J812="x",1)+IF($M$76="x",2)+J810+IF($M$85="x",1)+IF($M$113="x",1)+IF($M$120="x",2)+IF($M$119="x",2)+IF($M$105="x",1)+IF($M$110="x",1)+IF($M$111="x",2)+IF($M$112="x",4)+IF($M$108="x",1)-IF($M$109="x",1)-IF($M$99="x",1)+IF($M$90="x",1)-5,
$I$3&lt;16,SUM($C$3,$I$3)+IF(H814="x",1)-IF($C$79="x",4)-IF($I$2&lt;I814,2)-12+$I$16-$B$10+$M$94+IF($C$77="x",2)-IF($C$78="x",4)-IF($I$78="x",1)-IF($I$77="x",2)-IF($I$90="x",2)+IF($I$83="x",2)-IF($C$76="x",4)-$C$112+IF(H810="x",1)+I810+$M$77+IF(H812="x",1)+IF(J812="x",1)+IF($M$76="x",2)+J810+IF($M$85="x",1)+IF($M$113="x",1)+IF($M$120="x",2)+IF($M$119="x",2)+IF($M$105="x",1)+IF($M$110="x",1)+IF($M$111="x",2)+IF($M$112="x",4)+IF($M$108="x",1)-IF($M$109="x",1)-IF($M$99="x",1)+IF($M$90="x",1)
&amp;"/"&amp;SUM($C$3,$I$3)+IF(H814="x",1)-IF($C$79="x",4)-IF($I$2&lt;I814,2)-12+$I$16-$B$10+$M$94+IF($C$77="x",2)-IF($C$78="x",4)-IF($I$78="x",1)-IF($I$77="x",2)-IF($I$90="x",2)+IF($I$83="x",2)-IF($C$76="x",4)-$C$112+IF(H810="x",1)+I810+$M$77+IF(H812="x",1)+IF(J812="x",1)+IF($M$76="x",2)+J810+IF($M$85="x",1)+IF($M$113="x",1)+IF($M$120="x",2)+IF($M$119="x",2)+IF($M$105="x",1)+IF($M$110="x",1)+IF($M$111="x",2)+IF($M$112="x",4)+IF($M$108="x",1)-IF($M$109="x",1)-IF($M$99="x",1)+IF($M$90="x",1)-5
&amp;"/"&amp;SUM($C$3,$I$3)+IF(H814="x",1)-IF($C$79="x",4)-IF($I$2&lt;I814,2)-12+$I$16-$B$10+$M$94+IF($C$77="x",2)-IF($C$78="x",4)-IF($I$78="x",1)-IF($I$77="x",2)-IF($I$90="x",2)+IF($I$83="x",2)-IF($C$76="x",4)-$C$112+IF(H810="x",1)+I810+$M$77+IF(H812="x",1)+IF(J812="x",1)+IF($M$76="x",2)+J810+IF($M$85="x",1)+IF($M$113="x",1)+IF($M$120="x",2)+IF($M$119="x",2)+IF($M$105="x",1)+IF($M$110="x",1)+IF($M$111="x",2)+IF($M$112="x",4)+IF($M$108="x",1)-IF($M$109="x",1)-IF($M$99="x",1)+IF($M$90="x",1)-10,
$I$3&gt;=16,SUM($C$3,$I$3)+IF(H814="x",1)-IF($C$79="x",4)-IF($I$2&lt;I814,2)-12+$I$16-$B$10+$M$94+IF($C$77="x",2)-IF($C$78="x",4)-IF($I$78="x",1)-IF($I$77="x",2)-IF($I$90="x",2)+IF($I$83="x",2)-IF($C$76="x",4)-$C$112+IF(H810="x",1)+I810+$M$77+IF(H812="x",1)+IF(J812="x",1)+IF($M$76="x",2)+J810+IF($M$85="x",1)+IF($M$113="x",1)+IF($M$120="x",2)+IF($M$119="x",2)+IF($M$105="x",1)+IF($M$110="x",1)+IF($M$111="x",2)+IF($M$112="x",4)+IF($M$108="x",1)-IF($M$109="x",1)-IF($M$99="x",1)+IF($M$90="x",1)
&amp;"/"&amp;SUM($C$3,$I$3)+IF(H814="x",1)-IF($C$79="x",4)-IF($I$2&lt;I814,2)-12+$I$16-$B$10+$M$94+IF($C$77="x",2)-IF($C$78="x",4)-IF($I$78="x",1)-IF($I$77="x",2)-IF($I$90="x",2)+IF($I$83="x",2)-IF($C$76="x",4)-$C$112+IF(H810="x",1)+I810+$M$77+IF(H812="x",1)+IF(J812="x",1)+IF($M$76="x",2)+J810+IF($M$85="x",1)+IF($M$113="x",1)+IF($M$120="x",2)+IF($M$119="x",2)+IF($M$105="x",1)+IF($M$110="x",1)+IF($M$111="x",2)+IF($M$112="x",4)+IF($M$108="x",1)-IF($M$109="x",1)-IF($M$99="x",1)+IF($M$90="x",1)-5
&amp;"/"&amp;SUM($C$3,$I$3)+IF(H814="x",1)-IF($C$79="x",4)-IF($I$2&lt;I814,2)-12+$I$16-$B$10+$M$94+IF($C$77="x",2)-IF($C$78="x",4)-IF($I$78="x",1)-IF($I$77="x",2)-IF($I$90="x",2)+IF($I$83="x",2)-IF($C$76="x",4)-$C$112+IF(H810="x",1)+I810+$M$77+IF(H812="x",1)+IF(J812="x",1)+IF($M$76="x",2)+J810+IF($M$85="x",1)+IF($M$113="x",1)+IF($M$120="x",2)+IF($M$119="x",2)+IF($M$105="x",1)+IF($M$110="x",1)+IF($M$111="x",2)+IF($M$112="x",4)+IF($M$108="x",1)-IF($M$109="x",1)-IF($M$99="x",1)+IF($M$90="x",1)-10
&amp;"/"&amp;SUM($C$3,$I$3)+IF(H814="x",1)-IF($C$79="x",4)-IF($I$2&lt;I814,2)-12+$I$16-$B$10+$M$94+IF($C$77="x",2)-IF($C$78="x",4)-IF($I$78="x",1)-IF($I$77="x",2)-IF($I$90="x",2)+IF($I$83="x",2)-IF($C$76="x",4)-$C$112+IF(H810="x",1)+I810+$M$77+IF(H812="x",1)+IF(J812="x",1)+IF($M$76="x",2)+J810+IF($M$85="x",1)+IF($M$113="x",1)+IF($M$120="x",2)+IF($M$119="x",2)+IF($M$105="x",1)+IF($M$110="x",1)+IF($M$111="x",2)+IF($M$112="x",4)+IF($M$108="x",1)-IF($M$109="x",1)-IF($M$99="x",1)+IF($M$90="x",1)-15)</f>
        <v>-12</v>
      </c>
      <c r="C816" s="82"/>
      <c r="D816" s="121"/>
      <c r="E816" s="82"/>
      <c r="F816" s="82"/>
      <c r="G816" s="82"/>
      <c r="H816" s="82"/>
      <c r="J816" s="64"/>
      <c r="K816" s="64"/>
      <c r="N816" s="15"/>
      <c r="AB816" s="15"/>
      <c r="AC816" s="15"/>
      <c r="AD816" s="15"/>
      <c r="AE816" s="15"/>
      <c r="AF816" s="15"/>
      <c r="AG816" s="15"/>
      <c r="AH816" s="15"/>
      <c r="AI816" s="15"/>
      <c r="AJ816" s="15"/>
      <c r="AK816" s="15"/>
      <c r="AL816" s="15"/>
    </row>
    <row r="817" spans="1:38" x14ac:dyDescent="0.2">
      <c r="A817" s="127">
        <f>A810*8</f>
        <v>880</v>
      </c>
      <c r="B817" s="123">
        <f>_xlfn.IFS($I$85="x","PAINISSA",
$I$3&lt;6,SUM($C$3,$I$3)+IF(H814="x",1)-IF($C$79="x",4)-IF($I$2&lt;I814,2)-14+$I$16-$B$10+$M$94+IF($C$77="x",2)-IF($C$78="x",4)-IF($I$78="x",1)-IF($I$77="x",2)-IF($I$90="x",2)+IF($I$83="x",2)-IF($C$76="x",4)-$C$112+IF(H810="x",1)+I810+$M$77+IF(H812="x",1)+IF(J812="x",1)+IF($M$76="x",2)+J810+IF($M$85="x",1)+IF($M$113="x",1)+IF($M$120="x",2)+IF($M$119="x",2)+IF($M$105="x",1)+IF($M$110="x",1)+IF($M$111="x",2)+IF($M$112="x",4)+IF($M$108="x",1)-IF($M$109="x",1)-IF($M$99="x",1)+IF($M$90="x",1),
$I$3&lt;11,SUM($C$3,$I$3)+IF(H814="x",1)-IF($C$79="x",4)-IF($I$2&lt;I814,2)-14+$I$16-$B$10+$M$94+IF($C$77="x",2)-IF($C$78="x",4)-IF($I$78="x",1)-IF($I$77="x",2)-IF($I$90="x",2)+IF($I$83="x",2)-IF($C$76="x",4)-$C$112+IF(H810="x",1)+I810+$M$77+IF(H812="x",1)+IF(J812="x",1)+IF($M$76="x",2)+J810+IF($M$85="x",1)+IF($M$113="x",1)+IF($M$120="x",2)+IF($M$119="x",2)+IF($M$105="x",1)+IF($M$110="x",1)+IF($M$111="x",2)+IF($M$112="x",4)+IF($M$108="x",1)-IF($M$109="x",1)-IF($M$99="x",1)+IF($M$90="x",1)
&amp;"/"&amp;SUM($C$3,$I$3)+IF(H814="x",1)-IF($C$79="x",4)-IF($I$2&lt;I814,2)-14+$I$16-$B$10+$M$94+IF($C$77="x",2)-IF($C$78="x",4)-IF($I$78="x",1)-IF($I$77="x",2)-IF($I$90="x",2)+IF($I$83="x",2)-IF($C$76="x",4)-$C$112+IF(H810="x",1)+I810+$M$77+IF(H812="x",1)+IF(J812="x",1)+IF($M$76="x",2)+J810+IF($M$85="x",1)+IF($M$113="x",1)+IF($M$120="x",2)+IF($M$119="x",2)+IF($M$105="x",1)+IF($M$110="x",1)+IF($M$111="x",2)+IF($M$112="x",4)+IF($M$108="x",1)-IF($M$109="x",1)-IF($M$99="x",1)+IF($M$90="x",1)-5,
$I$3&lt;16,SUM($C$3,$I$3)+IF(H814="x",1)-IF($C$79="x",4)-IF($I$2&lt;I814,2)-14+$I$16-$B$10+$M$94+IF($C$77="x",2)-IF($C$78="x",4)-IF($I$78="x",1)-IF($I$77="x",2)-IF($I$90="x",2)+IF($I$83="x",2)-IF($C$76="x",4)-$C$112+IF(H810="x",1)+I810+$M$77+IF(H812="x",1)+IF(J812="x",1)+IF($M$76="x",2)+J810+IF($M$85="x",1)+IF($M$113="x",1)+IF($M$120="x",2)+IF($M$119="x",2)+IF($M$105="x",1)+IF($M$110="x",1)+IF($M$111="x",2)+IF($M$112="x",4)+IF($M$108="x",1)-IF($M$109="x",1)-IF($M$99="x",1)+IF($M$90="x",1)
&amp;"/"&amp;SUM($C$3,$I$3)+IF(H814="x",1)-IF($C$79="x",4)-IF($I$2&lt;I814,2)-14+$I$16-$B$10+$M$94+IF($C$77="x",2)-IF($C$78="x",4)-IF($I$78="x",1)-IF($I$77="x",2)-IF($I$90="x",2)+IF($I$83="x",2)-IF($C$76="x",4)-$C$112+IF(H810="x",1)+I810+$M$77+IF(H812="x",1)+IF(J812="x",1)+IF($M$76="x",2)+J810+IF($M$85="x",1)+IF($M$113="x",1)+IF($M$120="x",2)+IF($M$119="x",2)+IF($M$105="x",1)+IF($M$110="x",1)+IF($M$111="x",2)+IF($M$112="x",4)+IF($M$108="x",1)-IF($M$109="x",1)-IF($M$99="x",1)+IF($M$90="x",1)-5
&amp;"/"&amp;SUM($C$3,$I$3)+IF(H814="x",1)-IF($C$79="x",4)-IF($I$2&lt;I814,2)-14+$I$16-$B$10+$M$94+IF($C$77="x",2)-IF($C$78="x",4)-IF($I$78="x",1)-IF($I$77="x",2)-IF($I$90="x",2)+IF($I$83="x",2)-IF($C$76="x",4)-$C$112+IF(H810="x",1)+I810+$M$77+IF(H812="x",1)+IF(J812="x",1)+IF($M$76="x",2)+J810+IF($M$85="x",1)+IF($M$113="x",1)+IF($M$120="x",2)+IF($M$119="x",2)+IF($M$105="x",1)+IF($M$110="x",1)+IF($M$111="x",2)+IF($M$112="x",4)+IF($M$108="x",1)-IF($M$109="x",1)-IF($M$99="x",1)+IF($M$90="x",1)-10,
$I$3&gt;=16,SUM($C$3,$I$3)+IF(H814="x",1)-IF($C$79="x",4)-IF($I$2&lt;I814,2)-14+$I$16-$B$10+$M$94+IF($C$77="x",2)-IF($C$78="x",4)-IF($I$78="x",1)-IF($I$77="x",2)-IF($I$90="x",2)+IF($I$83="x",2)-IF($C$76="x",4)-$C$112+IF(H810="x",1)+I810+$M$77+IF(H812="x",1)+IF(J812="x",1)+IF($M$76="x",2)+J810+IF($M$85="x",1)+IF($M$113="x",1)+IF($M$120="x",2)+IF($M$119="x",2)+IF($M$105="x",1)+IF($M$110="x",1)+IF($M$111="x",2)+IF($M$112="x",4)+IF($M$108="x",1)-IF($M$109="x",1)-IF($M$99="x",1)+IF($M$90="x",1)
&amp;"/"&amp;SUM($C$3,$I$3)+IF(H814="x",1)-IF($C$79="x",4)-IF($I$2&lt;I814,2)-14+$I$16-$B$10+$M$94+IF($C$77="x",2)-IF($C$78="x",4)-IF($I$78="x",1)-IF($I$77="x",2)-IF($I$90="x",2)+IF($I$83="x",2)-IF($C$76="x",4)-$C$112+IF(H810="x",1)+I810+$M$77+IF(H812="x",1)+IF(J812="x",1)+IF($M$76="x",2)+J810+IF($M$85="x",1)+IF($M$113="x",1)+IF($M$120="x",2)+IF($M$119="x",2)+IF($M$105="x",1)+IF($M$110="x",1)+IF($M$111="x",2)+IF($M$112="x",4)+IF($M$108="x",1)-IF($M$109="x",1)-IF($M$99="x",1)+IF($M$90="x",1)-5
&amp;"/"&amp;SUM($C$3,$I$3)+IF(H814="x",1)-IF($C$79="x",4)-IF($I$2&lt;I814,2)-14+$I$16-$B$10+$M$94+IF($C$77="x",2)-IF($C$78="x",4)-IF($I$78="x",1)-IF($I$77="x",2)-IF($I$90="x",2)+IF($I$83="x",2)-IF($C$76="x",4)-$C$112+IF(H810="x",1)+I810+$M$77+IF(H812="x",1)+IF(J812="x",1)+IF($M$76="x",2)+J810+IF($M$85="x",1)+IF($M$113="x",1)+IF($M$120="x",2)+IF($M$119="x",2)+IF($M$105="x",1)+IF($M$110="x",1)+IF($M$111="x",2)+IF($M$112="x",4)+IF($M$108="x",1)-IF($M$109="x",1)-IF($M$99="x",1)+IF($M$90="x",1)-10
&amp;"/"&amp;SUM($C$3,$I$3)+IF(H814="x",1)-IF($C$79="x",4)-IF($I$2&lt;I814,2)-14+$I$16-$B$10+$M$94+IF($C$77="x",2)-IF($C$78="x",4)-IF($I$78="x",1)-IF($I$77="x",2)-IF($I$90="x",2)+IF($I$83="x",2)-IF($C$76="x",4)-$C$112+IF(H810="x",1)+I810+$M$77+IF(H812="x",1)+IF(J812="x",1)+IF($M$76="x",2)+J810+IF($M$85="x",1)+IF($M$113="x",1)+IF($M$120="x",2)+IF($M$119="x",2)+IF($M$105="x",1)+IF($M$110="x",1)+IF($M$111="x",2)+IF($M$112="x",4)+IF($M$108="x",1)-IF($M$109="x",1)-IF($M$99="x",1)+IF($M$90="x",1)-15)</f>
        <v>-14</v>
      </c>
      <c r="C817" s="82"/>
      <c r="D817" s="121"/>
      <c r="E817" s="82"/>
      <c r="F817" s="82"/>
      <c r="G817" s="82"/>
      <c r="H817" s="82"/>
      <c r="I817" s="82"/>
      <c r="J817" s="64"/>
      <c r="K817" s="64"/>
      <c r="N817" s="15"/>
      <c r="AB817" s="15"/>
      <c r="AC817" s="15"/>
      <c r="AD817" s="15"/>
      <c r="AE817" s="15"/>
      <c r="AF817" s="15"/>
      <c r="AG817" s="15"/>
      <c r="AH817" s="15"/>
      <c r="AI817" s="15"/>
      <c r="AJ817" s="15"/>
      <c r="AK817" s="15"/>
      <c r="AL817" s="15"/>
    </row>
    <row r="818" spans="1:38" x14ac:dyDescent="0.2">
      <c r="A818" s="126">
        <f>A810*9</f>
        <v>990</v>
      </c>
      <c r="B818" s="121">
        <f>_xlfn.IFS($I$85="x","PAINISSA",
$I$3&lt;6,SUM($C$3,$I$3)+IF(H814="x",1)-IF($C$79="x",4)-IF($I$2&lt;I814,2)-16+$I$16-$B$10+$M$94+IF($C$77="x",2)-IF($C$78="x",4)-IF($I$78="x",1)-IF($I$77="x",2)-IF($I$90="x",2)+IF($I$83="x",2)-IF($C$76="x",4)-$C$112+IF(H810="x",1)+I810+$M$77+IF(H812="x",1)+IF(J812="x",1)+IF($M$76="x",2)+J810+IF($M$85="x",1)+IF($M$113="x",1)+IF($M$120="x",2)+IF($M$119="x",2)+IF($M$105="x",1)+IF($M$110="x",1)+IF($M$111="x",2)+IF($M$112="x",4)+IF($M$108="x",1)-IF($M$109="x",1)-IF($M$99="x",1)+IF($M$90="x",1),
$I$3&lt;11,SUM($C$3,$I$3)+IF(H814="x",1)-IF($C$79="x",4)-IF($I$2&lt;I814,2)-16+$I$16-$B$10+$M$94+IF($C$77="x",2)-IF($C$78="x",4)-IF($I$78="x",1)-IF($I$77="x",2)-IF($I$90="x",2)+IF($I$83="x",2)-IF($C$76="x",4)-$C$112+IF(H810="x",1)+I810+$M$77+IF(H812="x",1)+IF(J812="x",1)+IF($M$76="x",2)+J810+IF($M$85="x",1)+IF($M$113="x",1)+IF($M$120="x",2)+IF($M$119="x",2)+IF($M$105="x",1)+IF($M$110="x",1)+IF($M$111="x",2)+IF($M$112="x",4)+IF($M$108="x",1)-IF($M$109="x",1)-IF($M$99="x",1)+IF($M$90="x",1)
&amp;"/"&amp;SUM($C$3,$I$3)+IF(H814="x",1)-IF($C$79="x",4)-IF($I$2&lt;I814,2)-16+$I$16-$B$10+$M$94+IF($C$77="x",2)-IF($C$78="x",4)-IF($I$78="x",1)-IF($I$77="x",2)-IF($I$90="x",2)+IF($I$83="x",2)-IF($C$76="x",4)-$C$112+IF(H810="x",1)+I810+$M$77+IF(H812="x",1)+IF(J812="x",1)+IF($M$76="x",2)+J810+IF($M$85="x",1)+IF($M$113="x",1)+IF($M$120="x",2)+IF($M$119="x",2)+IF($M$105="x",1)+IF($M$110="x",1)+IF($M$111="x",2)+IF($M$112="x",4)+IF($M$108="x",1)-IF($M$109="x",1)-IF($M$99="x",1)+IF($M$90="x",1)-5,
$I$3&lt;16,SUM($C$3,$I$3)+IF(H814="x",1)-IF($C$79="x",4)-IF($I$2&lt;I814,2)-16+$I$16-$B$10+$M$94+IF($C$77="x",2)-IF($C$78="x",4)-IF($I$78="x",1)-IF($I$77="x",2)-IF($I$90="x",2)+IF($I$83="x",2)-IF($C$76="x",4)-$C$112+IF(H810="x",1)+I810+$M$77+IF(H812="x",1)+IF(J812="x",1)+IF($M$76="x",2)+J810+IF($M$85="x",1)+IF($M$113="x",1)+IF($M$120="x",2)+IF($M$119="x",2)+IF($M$105="x",1)+IF($M$110="x",1)+IF($M$111="x",2)+IF($M$112="x",4)+IF($M$108="x",1)-IF($M$109="x",1)-IF($M$99="x",1)+IF($M$90="x",1)
&amp;"/"&amp;SUM($C$3,$I$3)+IF(H814="x",1)-IF($C$79="x",4)-IF($I$2&lt;I814,2)-16+$I$16-$B$10+$M$94+IF($C$77="x",2)-IF($C$78="x",4)-IF($I$78="x",1)-IF($I$77="x",2)-IF($I$90="x",2)+IF($I$83="x",2)-IF($C$76="x",4)-$C$112+IF(H810="x",1)+I810+$M$77+IF(H812="x",1)+IF(J812="x",1)+IF($M$76="x",2)+J810+IF($M$85="x",1)+IF($M$113="x",1)+IF($M$120="x",2)+IF($M$119="x",2)+IF($M$105="x",1)+IF($M$110="x",1)+IF($M$111="x",2)+IF($M$112="x",4)+IF($M$108="x",1)-IF($M$109="x",1)-IF($M$99="x",1)+IF($M$90="x",1)-5
&amp;"/"&amp;SUM($C$3,$I$3)+IF(H814="x",1)-IF($C$79="x",4)-IF($I$2&lt;I814,2)-16+$I$16-$B$10+$M$94+IF($C$77="x",2)-IF($C$78="x",4)-IF($I$78="x",1)-IF($I$77="x",2)-IF($I$90="x",2)+IF($I$83="x",2)-IF($C$76="x",4)-$C$112+IF(H810="x",1)+I810+$M$77+IF(H812="x",1)+IF(J812="x",1)+IF($M$76="x",2)+J810+IF($M$85="x",1)+IF($M$113="x",1)+IF($M$120="x",2)+IF($M$119="x",2)+IF($M$105="x",1)+IF($M$110="x",1)+IF($M$111="x",2)+IF($M$112="x",4)+IF($M$108="x",1)-IF($M$109="x",1)-IF($M$99="x",1)+IF($M$90="x",1)-10,
$I$3&gt;=16,SUM($C$3,$I$3)+IF(H814="x",1)-IF($C$79="x",4)-IF($I$2&lt;I814,2)-16+$I$16-$B$10+$M$94+IF($C$77="x",2)-IF($C$78="x",4)-IF($I$78="x",1)-IF($I$77="x",2)-IF($I$90="x",2)+IF($I$83="x",2)-IF($C$76="x",4)-$C$112+IF(H810="x",1)+I810+$M$77+IF(H812="x",1)+IF(J812="x",1)+IF($M$76="x",2)+J810+IF($M$85="x",1)+IF($M$113="x",1)+IF($M$120="x",2)+IF($M$119="x",2)+IF($M$105="x",1)+IF($M$110="x",1)+IF($M$111="x",2)+IF($M$112="x",4)+IF($M$108="x",1)-IF($M$109="x",1)-IF($M$99="x",1)+IF($M$90="x",1)
&amp;"/"&amp;SUM($C$3,$I$3)+IF(H814="x",1)-IF($C$79="x",4)-IF($I$2&lt;I814,2)-16+$I$16-$B$10+$M$94+IF($C$77="x",2)-IF($C$78="x",4)-IF($I$78="x",1)-IF($I$77="x",2)-IF($I$90="x",2)+IF($I$83="x",2)-IF($C$76="x",4)-$C$112+IF(H810="x",1)+I810+$M$77+IF(H812="x",1)+IF(J812="x",1)+IF($M$76="x",2)+J810+IF($M$85="x",1)+IF($M$113="x",1)+IF($M$120="x",2)+IF($M$119="x",2)+IF($M$105="x",1)+IF($M$110="x",1)+IF($M$111="x",2)+IF($M$112="x",4)+IF($M$108="x",1)-IF($M$109="x",1)-IF($M$99="x",1)+IF($M$90="x",1)-5
&amp;"/"&amp;SUM($C$3,$I$3)+IF(H814="x",1)-IF($C$79="x",4)-IF($I$2&lt;I814,2)-16+$I$16-$B$10+$M$94+IF($C$77="x",2)-IF($C$78="x",4)-IF($I$78="x",1)-IF($I$77="x",2)-IF($I$90="x",2)+IF($I$83="x",2)-IF($C$76="x",4)-$C$112+IF(H810="x",1)+I810+$M$77+IF(H812="x",1)+IF(J812="x",1)+IF($M$76="x",2)+J810+IF($M$85="x",1)+IF($M$113="x",1)+IF($M$120="x",2)+IF($M$119="x",2)+IF($M$105="x",1)+IF($M$110="x",1)+IF($M$111="x",2)+IF($M$112="x",4)+IF($M$108="x",1)-IF($M$109="x",1)-IF($M$99="x",1)+IF($M$90="x",1)-10
&amp;"/"&amp;SUM($C$3,$I$3)+IF(H814="x",1)-IF($C$79="x",4)-IF($I$2&lt;I814,2)-16+$I$16-$B$10+$M$94+IF($C$77="x",2)-IF($C$78="x",4)-IF($I$78="x",1)-IF($I$77="x",2)-IF($I$90="x",2)+IF($I$83="x",2)-IF($C$76="x",4)-$C$112+IF(H810="x",1)+I810+$M$77+IF(H812="x",1)+IF(J812="x",1)+IF($M$76="x",2)+J810+IF($M$85="x",1)+IF($M$113="x",1)+IF($M$120="x",2)+IF($M$119="x",2)+IF($M$105="x",1)+IF($M$110="x",1)+IF($M$111="x",2)+IF($M$112="x",4)+IF($M$108="x",1)-IF($M$109="x",1)-IF($M$99="x",1)+IF($M$90="x",1)-15)</f>
        <v>-16</v>
      </c>
      <c r="C818" s="82"/>
      <c r="D818" s="121"/>
      <c r="E818" s="82"/>
      <c r="F818" s="82"/>
      <c r="G818" s="82"/>
      <c r="H818" s="82"/>
      <c r="I818" s="155"/>
      <c r="N818" s="15"/>
      <c r="AB818" s="15"/>
      <c r="AC818" s="15"/>
      <c r="AD818" s="15"/>
      <c r="AE818" s="15"/>
      <c r="AF818" s="15"/>
      <c r="AG818" s="15"/>
      <c r="AH818" s="15"/>
      <c r="AI818" s="15"/>
      <c r="AJ818" s="15"/>
      <c r="AK818" s="15"/>
      <c r="AL818" s="15"/>
    </row>
    <row r="819" spans="1:38" x14ac:dyDescent="0.2">
      <c r="A819" s="127">
        <f>A810*10</f>
        <v>1100</v>
      </c>
      <c r="B819" s="123">
        <f>_xlfn.IFS($I$85="x","PAINISSA",
$I$3&lt;6,SUM($C$3,$I$3)+IF(H814="x",1)-IF($C$79="x",4)-IF($I$2&lt;I814,2)-18+$I$16-$B$10+$M$94+IF($C$77="x",2)-IF($C$78="x",4)-IF($I$78="x",1)-IF($I$77="x",2)-IF($I$90="x",2)+IF($I$83="x",2)-IF($C$76="x",4)-$C$112+IF(H810="x",1)+I810+$M$77+IF(H812="x",1)+IF(J812="x",1)+IF($M$76="x",2)+J810+IF($M$85="x",1)+IF($M$113="x",1)+IF($M$120="x",2)+IF($M$119="x",2)+IF($M$105="x",1)+IF($M$110="x",1)+IF($M$111="x",2)+IF($M$112="x",4)+IF($M$108="x",1)-IF($M$109="x",1)-IF($M$99="x",1)+IF($M$90="x",1),
$I$3&lt;11,SUM($C$3,$I$3)+IF(H814="x",1)-IF($C$79="x",4)-IF($I$2&lt;I814,2)-18+$I$16-$B$10+$M$94+IF($C$77="x",2)-IF($C$78="x",4)-IF($I$78="x",1)-IF($I$77="x",2)-IF($I$90="x",2)+IF($I$83="x",2)-IF($C$76="x",4)-$C$112+IF(H810="x",1)+I810+$M$77+IF(H812="x",1)+IF(J812="x",1)+IF($M$76="x",2)+J810+IF($M$85="x",1)+IF($M$113="x",1)+IF($M$120="x",2)+IF($M$119="x",2)+IF($M$105="x",1)+IF($M$110="x",1)+IF($M$111="x",2)+IF($M$112="x",4)+IF($M$108="x",1)-IF($M$109="x",1)-IF($M$99="x",1)+IF($M$90="x",1)
&amp;"/"&amp;SUM($C$3,$I$3)+IF(H814="x",1)-IF($C$79="x",4)-IF($I$2&lt;I814,2)-18+$I$16-$B$10+$M$94+IF($C$77="x",2)-IF($C$78="x",4)-IF($I$78="x",1)-IF($I$77="x",2)-IF($I$90="x",2)+IF($I$83="x",2)-IF($C$76="x",4)-$C$112+IF(H810="x",1)+I810+$M$77+IF(H812="x",1)+IF(J812="x",1)+IF($M$76="x",2)+J810+IF($M$85="x",1)+IF($M$113="x",1)+IF($M$120="x",2)+IF($M$119="x",2)+IF($M$105="x",1)+IF($M$110="x",1)+IF($M$111="x",2)+IF($M$112="x",4)+IF($M$108="x",1)-IF($M$109="x",1)-IF($M$99="x",1)+IF($M$90="x",1)-5,
$I$3&lt;16,SUM($C$3,$I$3)+IF(H814="x",1)-IF($C$79="x",4)-IF($I$2&lt;I814,2)-18+$I$16-$B$10+$M$94+IF($C$77="x",2)-IF($C$78="x",4)-IF($I$78="x",1)-IF($I$77="x",2)-IF($I$90="x",2)+IF($I$83="x",2)-IF($C$76="x",4)-$C$112+IF(H810="x",1)+I810+$M$77+IF(H812="x",1)+IF(J812="x",1)+IF($M$76="x",2)+J810+IF($M$85="x",1)+IF($M$113="x",1)+IF($M$120="x",2)+IF($M$119="x",2)+IF($M$105="x",1)+IF($M$110="x",1)+IF($M$111="x",2)+IF($M$112="x",4)+IF($M$108="x",1)-IF($M$109="x",1)-IF($M$99="x",1)+IF($M$90="x",1)
&amp;"/"&amp;SUM($C$3,$I$3)+IF(H814="x",1)-IF($C$79="x",4)-IF($I$2&lt;I814,2)-18+$I$16-$B$10+$M$94+IF($C$77="x",2)-IF($C$78="x",4)-IF($I$78="x",1)-IF($I$77="x",2)-IF($I$90="x",2)+IF($I$83="x",2)-IF($C$76="x",4)-$C$112+IF(H810="x",1)+I810+$M$77+IF(H812="x",1)+IF(J812="x",1)+IF($M$76="x",2)+J810+IF($M$85="x",1)+IF($M$113="x",1)+IF($M$120="x",2)+IF($M$119="x",2)+IF($M$105="x",1)+IF($M$110="x",1)+IF($M$111="x",2)+IF($M$112="x",4)+IF($M$108="x",1)-IF($M$109="x",1)-IF($M$99="x",1)+IF($M$90="x",1)-5
&amp;"/"&amp;SUM($C$3,$I$3)+IF(H814="x",1)-IF($C$79="x",4)-IF($I$2&lt;I814,2)-18+$I$16-$B$10+$M$94+IF($C$77="x",2)-IF($C$78="x",4)-IF($I$78="x",1)-IF($I$77="x",2)-IF($I$90="x",2)+IF($I$83="x",2)-IF($C$76="x",4)-$C$112+IF(H810="x",1)+I810+$M$77+IF(H812="x",1)+IF(J812="x",1)+IF($M$76="x",2)+J810+IF($M$85="x",1)+IF($M$113="x",1)+IF($M$120="x",2)+IF($M$119="x",2)+IF($M$105="x",1)+IF($M$110="x",1)+IF($M$111="x",2)+IF($M$112="x",4)+IF($M$108="x",1)-IF($M$109="x",1)-IF($M$99="x",1)+IF($M$90="x",1)-10,
$I$3&gt;=16,SUM($C$3,$I$3)+IF(H814="x",1)-IF($C$79="x",4)-IF($I$2&lt;I814,2)-18+$I$16-$B$10+$M$94+IF($C$77="x",2)-IF($C$78="x",4)-IF($I$78="x",1)-IF($I$77="x",2)-IF($I$90="x",2)+IF($I$83="x",2)-IF($C$76="x",4)-$C$112+IF(H810="x",1)+I810+$M$77+IF(H812="x",1)+IF(J812="x",1)+IF($M$76="x",2)+J810+IF($M$85="x",1)+IF($M$113="x",1)+IF($M$120="x",2)+IF($M$119="x",2)+IF($M$105="x",1)+IF($M$110="x",1)+IF($M$111="x",2)+IF($M$112="x",4)+IF($M$108="x",1)-IF($M$109="x",1)-IF($M$99="x",1)+IF($M$90="x",1)
&amp;"/"&amp;SUM($C$3,$I$3)+IF(H814="x",1)-IF($C$79="x",4)-IF($I$2&lt;I814,2)-18+$I$16-$B$10+$M$94+IF($C$77="x",2)-IF($C$78="x",4)-IF($I$78="x",1)-IF($I$77="x",2)-IF($I$90="x",2)+IF($I$83="x",2)-IF($C$76="x",4)-$C$112+IF(H810="x",1)+I810+$M$77+IF(H812="x",1)+IF(J812="x",1)+IF($M$76="x",2)+J810+IF($M$85="x",1)+IF($M$113="x",1)+IF($M$120="x",2)+IF($M$119="x",2)+IF($M$105="x",1)+IF($M$110="x",1)+IF($M$111="x",2)+IF($M$112="x",4)+IF($M$108="x",1)-IF($M$109="x",1)-IF($M$99="x",1)+IF($M$90="x",1)-5
&amp;"/"&amp;SUM($C$3,$I$3)+IF(H814="x",1)-IF($C$79="x",4)-IF($I$2&lt;I814,2)-18+$I$16-$B$10+$M$94+IF($C$77="x",2)-IF($C$78="x",4)-IF($I$78="x",1)-IF($I$77="x",2)-IF($I$90="x",2)+IF($I$83="x",2)-IF($C$76="x",4)-$C$112+IF(H810="x",1)+I810+$M$77+IF(H812="x",1)+IF(J812="x",1)+IF($M$76="x",2)+J810+IF($M$85="x",1)+IF($M$113="x",1)+IF($M$120="x",2)+IF($M$119="x",2)+IF($M$105="x",1)+IF($M$110="x",1)+IF($M$111="x",2)+IF($M$112="x",4)+IF($M$108="x",1)-IF($M$109="x",1)-IF($M$99="x",1)+IF($M$90="x",1)-10
&amp;"/"&amp;SUM($C$3,$I$3)+IF(H814="x",1)-IF($C$79="x",4)-IF($I$2&lt;I814,2)-18+$I$16-$B$10+$M$94+IF($C$77="x",2)-IF($C$78="x",4)-IF($I$78="x",1)-IF($I$77="x",2)-IF($I$90="x",2)+IF($I$83="x",2)-IF($C$76="x",4)-$C$112+IF(H810="x",1)+I810+$M$77+IF(H812="x",1)+IF(J812="x",1)+IF($M$76="x",2)+J810+IF($M$85="x",1)+IF($M$113="x",1)+IF($M$120="x",2)+IF($M$119="x",2)+IF($M$105="x",1)+IF($M$110="x",1)+IF($M$111="x",2)+IF($M$112="x",4)+IF($M$108="x",1)-IF($M$109="x",1)-IF($M$99="x",1)+IF($M$90="x",1)-15)</f>
        <v>-18</v>
      </c>
      <c r="C819" s="82"/>
      <c r="D819" s="121"/>
      <c r="E819" s="82"/>
      <c r="I819" s="155"/>
      <c r="J819" s="25"/>
      <c r="K819" s="25"/>
      <c r="L819" s="109"/>
      <c r="M819" s="109"/>
      <c r="N819" s="109"/>
      <c r="AB819" s="15"/>
      <c r="AC819" s="15"/>
      <c r="AD819" s="15"/>
      <c r="AE819" s="15"/>
      <c r="AF819" s="15"/>
      <c r="AG819" s="15"/>
      <c r="AH819" s="15"/>
      <c r="AI819" s="15"/>
      <c r="AJ819" s="15"/>
      <c r="AK819" s="15"/>
      <c r="AL819" s="15"/>
    </row>
    <row r="820" spans="1:38" x14ac:dyDescent="0.2">
      <c r="A820" s="81"/>
      <c r="B820" s="81"/>
      <c r="C820" s="81"/>
      <c r="D820" s="81"/>
      <c r="E820" s="81"/>
      <c r="F820" s="81"/>
      <c r="G820" s="81"/>
      <c r="H820" s="81"/>
      <c r="I820" s="81"/>
      <c r="J820" s="81"/>
      <c r="K820" s="81"/>
      <c r="L820" s="81"/>
      <c r="M820" s="81"/>
      <c r="N820" s="81"/>
      <c r="AB820" s="15"/>
      <c r="AC820" s="15"/>
      <c r="AD820" s="15"/>
      <c r="AE820" s="15"/>
      <c r="AF820" s="15"/>
      <c r="AG820" s="15"/>
      <c r="AH820" s="15"/>
      <c r="AI820" s="15"/>
      <c r="AJ820" s="15"/>
      <c r="AK820" s="15"/>
      <c r="AL820" s="15"/>
    </row>
    <row r="821" spans="1:38" x14ac:dyDescent="0.2">
      <c r="B821" s="15"/>
      <c r="C821" s="15"/>
      <c r="D821" s="15"/>
      <c r="F821" s="15"/>
      <c r="G821" s="15"/>
      <c r="H821" s="15"/>
      <c r="I821" s="15"/>
      <c r="N821" s="15"/>
      <c r="AB821" s="15"/>
      <c r="AC821" s="15"/>
      <c r="AD821" s="15"/>
      <c r="AE821" s="15"/>
      <c r="AF821" s="15"/>
      <c r="AG821" s="15"/>
      <c r="AH821" s="15"/>
      <c r="AI821" s="15"/>
      <c r="AJ821" s="15"/>
      <c r="AK821" s="15"/>
      <c r="AL821" s="15"/>
    </row>
    <row r="822" spans="1:38" x14ac:dyDescent="0.2">
      <c r="A822" s="34" t="s">
        <v>295</v>
      </c>
      <c r="B822" s="11" t="s">
        <v>1</v>
      </c>
      <c r="C822" s="11" t="s">
        <v>2</v>
      </c>
      <c r="D822" s="11" t="s">
        <v>3</v>
      </c>
      <c r="E822" s="11" t="s">
        <v>229</v>
      </c>
      <c r="F822" s="11" t="s">
        <v>3</v>
      </c>
      <c r="G822" s="11" t="s">
        <v>45</v>
      </c>
      <c r="H822" s="11" t="s">
        <v>224</v>
      </c>
      <c r="I822" s="11" t="s">
        <v>225</v>
      </c>
      <c r="J822" s="48"/>
      <c r="N822" s="15"/>
      <c r="AB822" s="15"/>
      <c r="AC822" s="15"/>
      <c r="AD822" s="15"/>
      <c r="AE822" s="15"/>
      <c r="AF822" s="15"/>
      <c r="AG822" s="15"/>
      <c r="AH822" s="15"/>
      <c r="AI822" s="15"/>
      <c r="AJ822" s="15"/>
      <c r="AK822" s="15"/>
      <c r="AL822" s="15"/>
    </row>
    <row r="823" spans="1:38" x14ac:dyDescent="0.2">
      <c r="A823" s="157" t="s">
        <v>233</v>
      </c>
      <c r="B823" s="97">
        <f>IF($I$85="x","PAINISSA",
SUM($C$3,$I$3)+IF(H827="x",1)+$I$16-$B$10+$M$94+IF($C$77="x",2)-IF($C$78="x",4)-IF($I$78="x",1)-IF($I$77="x",2)-IF($I$90="x",2)+IF($I$83="x",2)-IF($C$76="x",4)-$C$112+$M$77+IF(H825="x",1)+IF(J825="x",1)+IF($M$76="x",2)+H823+IF($M$85="x",1)+IF($M$113="x",1)+IF($M$120="x",2)+IF($M$119="x",2)+IF($M$105="x",1)+IF($M$110="x",1)+IF($M$111="x",2)+IF($M$112="x",4)+IF($M$108="x",1)-IF($M$109="x",1)-IF($M$99="x",1)+IF($M$90="x",1))</f>
        <v>0</v>
      </c>
      <c r="C823" s="158"/>
      <c r="D823" s="159"/>
      <c r="E823" s="158"/>
      <c r="F823" s="160">
        <f>D823*2</f>
        <v>0</v>
      </c>
      <c r="G823" s="82" t="str">
        <f>(IF($I$89="x","50 %","")&amp;(IF($C$81="x","20 %",""))&amp;(IF($C$82="x","50 %","")))</f>
        <v/>
      </c>
      <c r="H823" s="17">
        <v>0</v>
      </c>
      <c r="I823" s="17">
        <v>0</v>
      </c>
      <c r="J823" s="40"/>
      <c r="N823" s="15"/>
      <c r="AB823" s="15"/>
      <c r="AC823" s="15"/>
      <c r="AD823" s="15"/>
      <c r="AE823" s="15"/>
      <c r="AF823" s="15"/>
      <c r="AG823" s="15"/>
      <c r="AH823" s="15"/>
      <c r="AI823" s="15"/>
      <c r="AJ823" s="15"/>
      <c r="AK823" s="15"/>
      <c r="AL823" s="15"/>
    </row>
    <row r="824" spans="1:38" x14ac:dyDescent="0.2">
      <c r="A824" s="157" t="s">
        <v>233</v>
      </c>
      <c r="B824" s="97">
        <f>IF($I$85="x","PAINISSA",
SUM($C$3,$I$3)+IF(H827="x",1)+$I$16-$B$10+$M$94+IF($C$77="x",2)-IF($C$78="x",4)-IF($I$78="x",1)-IF($I$77="x",2)-IF($I$90="x",2)+IF($I$83="x",2)-IF($C$76="x",4)-$C$112+$M$77+IF(H825="x",1)+IF(J825="x",1)+IF($M$76="x",2)+H823+IF($M$85="x",1)+IF($M$113="x",1)+IF($M$120="x",2)+IF($M$119="x",2)+IF($M$105="x",1)+IF($M$110="x",1)+IF($M$111="x",2)+IF($M$112="x",4)+IF($M$108="x",1)-IF($M$109="x",1)-IF($M$99="x",1)+IF($M$90="x",1))</f>
        <v>0</v>
      </c>
      <c r="C824" s="158"/>
      <c r="D824" s="159"/>
      <c r="E824" s="158"/>
      <c r="F824" s="160">
        <f t="shared" ref="F824:F827" si="18">D824*2</f>
        <v>0</v>
      </c>
      <c r="G824" s="82" t="str">
        <f>(IF($I$89="x","50 %","")&amp;(IF($C$81="x","20 %",""))&amp;(IF($C$82="x","50 %","")))</f>
        <v/>
      </c>
      <c r="H824" s="14" t="s">
        <v>220</v>
      </c>
      <c r="I824" s="48"/>
      <c r="J824" s="48"/>
      <c r="K824" s="48"/>
      <c r="N824" s="15"/>
      <c r="AB824" s="15"/>
      <c r="AC824" s="15"/>
      <c r="AD824" s="15"/>
      <c r="AE824" s="15"/>
      <c r="AF824" s="15"/>
      <c r="AG824" s="15"/>
      <c r="AH824" s="15"/>
      <c r="AI824" s="15"/>
      <c r="AJ824" s="15"/>
      <c r="AK824" s="15"/>
      <c r="AL824" s="15"/>
    </row>
    <row r="825" spans="1:38" x14ac:dyDescent="0.2">
      <c r="A825" s="157" t="s">
        <v>233</v>
      </c>
      <c r="B825" s="98">
        <f>IF($I$85="x","PAINISSA",
SUM($C$3,$I$3)+IF(H827="x",1)+$I$16-$B$10+$M$94+IF($C$77="x",2)-IF($C$78="x",4)-IF($I$78="x",1)-IF($I$77="x",2)-IF($I$90="x",2)+IF($I$83="x",2)-IF($C$76="x",4)-$C$112+$M$77+IF(H825="x",1)+IF(J825="x",1)+IF($M$76="x",2)+H823+IF($M$85="x",1)+IF($M$113="x",1)+IF($M$120="x",2)+IF($M$119="x",2)+IF($M$105="x",1)+IF($M$110="x",1)+IF($M$111="x",2)+IF($M$112="x",4)+IF($M$108="x",1)-IF($M$109="x",1)-IF($M$99="x",1)+IF($M$90="x",1))</f>
        <v>0</v>
      </c>
      <c r="C825" s="161"/>
      <c r="D825" s="161"/>
      <c r="E825" s="158"/>
      <c r="F825" s="160">
        <f t="shared" si="18"/>
        <v>0</v>
      </c>
      <c r="G825" s="82" t="str">
        <f>(IF($I$89="x","50 %","")&amp;(IF($C$81="x","20 %",""))&amp;(IF($C$82="x","50 %","")))</f>
        <v/>
      </c>
      <c r="H825" s="28"/>
      <c r="I825" s="40"/>
      <c r="J825" s="40"/>
      <c r="K825" s="40"/>
      <c r="N825" s="15"/>
      <c r="AB825" s="15"/>
      <c r="AC825" s="15"/>
      <c r="AD825" s="15"/>
      <c r="AE825" s="15"/>
      <c r="AF825" s="15"/>
      <c r="AG825" s="15"/>
      <c r="AH825" s="15"/>
      <c r="AI825" s="15"/>
      <c r="AJ825" s="15"/>
      <c r="AK825" s="15"/>
      <c r="AL825" s="15"/>
    </row>
    <row r="826" spans="1:38" x14ac:dyDescent="0.2">
      <c r="A826" s="157" t="s">
        <v>233</v>
      </c>
      <c r="B826" s="98">
        <f>IF($I$85="x","PAINISSA",
SUM($C$3,$I$3)+IF(H827="x",1)+$I$16-$B$10+$M$94+IF($C$77="x",2)-IF($C$78="x",4)-IF($I$78="x",1)-IF($I$77="x",2)-IF($I$90="x",2)+IF($I$83="x",2)-IF($C$76="x",4)-$C$112+$M$77+IF(H825="x",1)+IF(J825="x",1)+IF($M$76="x",2)+H823+IF($M$85="x",1)+IF($M$113="x",1)+IF($M$120="x",2)+IF($M$119="x",2)+IF($M$105="x",1)+IF($M$110="x",1)+IF($M$111="x",2)+IF($M$112="x",4)+IF($M$108="x",1)-IF($M$109="x",1)-IF($M$99="x",1)+IF($M$90="x",1))</f>
        <v>0</v>
      </c>
      <c r="C826" s="158"/>
      <c r="D826" s="158"/>
      <c r="E826" s="158"/>
      <c r="F826" s="160">
        <f t="shared" si="18"/>
        <v>0</v>
      </c>
      <c r="G826" s="82" t="str">
        <f>(IF($I$89="x","50 %","")&amp;(IF($C$81="x","20 %",""))&amp;(IF($C$82="x","50 %","")))</f>
        <v/>
      </c>
      <c r="H826" s="14" t="s">
        <v>182</v>
      </c>
      <c r="I826" s="15"/>
      <c r="N826" s="15"/>
      <c r="AB826" s="15"/>
      <c r="AC826" s="15"/>
      <c r="AD826" s="15"/>
      <c r="AE826" s="15"/>
      <c r="AF826" s="15"/>
      <c r="AG826" s="15"/>
      <c r="AH826" s="15"/>
      <c r="AI826" s="15"/>
      <c r="AJ826" s="15"/>
      <c r="AK826" s="15"/>
      <c r="AL826" s="15"/>
    </row>
    <row r="827" spans="1:38" x14ac:dyDescent="0.2">
      <c r="A827" s="157" t="s">
        <v>233</v>
      </c>
      <c r="B827" s="98">
        <f>IF($I$85="x","PAINISSA",
SUM($C$3,$I$3)+IF(H827="x",1)+$I$16-$B$10+$M$94+IF($C$77="x",2)-IF($C$78="x",4)-IF($I$78="x",1)-IF($I$77="x",2)-IF($I$90="x",2)+IF($I$83="x",2)-IF($C$76="x",4)-$C$112+$M$77+IF(H825="x",1)+IF(J825="x",1)+IF($M$76="x",2)+H823+IF($M$85="x",1)+IF($M$113="x",1)+IF($M$120="x",2)+IF($M$119="x",2)+IF($M$105="x",1)+IF($M$110="x",1)+IF($M$111="x",2)+IF($M$112="x",4)+IF($M$108="x",1)-IF($M$109="x",1)-IF($M$99="x",1)+IF($M$90="x",1))</f>
        <v>0</v>
      </c>
      <c r="C827" s="161"/>
      <c r="D827" s="158"/>
      <c r="E827" s="158"/>
      <c r="F827" s="160">
        <f t="shared" si="18"/>
        <v>0</v>
      </c>
      <c r="G827" s="82" t="str">
        <f>(IF($I$89="x","50 %","")&amp;(IF($C$81="x","20 %",""))&amp;(IF($C$82="x","50 %","")))</f>
        <v/>
      </c>
      <c r="H827" s="28"/>
      <c r="I827" s="15"/>
      <c r="J827" s="25"/>
      <c r="K827" s="25"/>
      <c r="N827" s="15"/>
      <c r="AB827" s="15"/>
      <c r="AC827" s="15"/>
      <c r="AD827" s="15"/>
      <c r="AE827" s="15"/>
      <c r="AF827" s="15"/>
      <c r="AG827" s="15"/>
      <c r="AH827" s="15"/>
      <c r="AI827" s="15"/>
      <c r="AJ827" s="15"/>
      <c r="AK827" s="15"/>
      <c r="AL827" s="15"/>
    </row>
    <row r="828" spans="1:38" x14ac:dyDescent="0.2">
      <c r="B828" s="15"/>
      <c r="C828" s="15"/>
      <c r="D828" s="15"/>
      <c r="F828" s="15"/>
      <c r="G828" s="15"/>
      <c r="H828" s="15"/>
      <c r="I828" s="15"/>
      <c r="N828" s="15"/>
      <c r="AB828" s="15"/>
      <c r="AC828" s="15"/>
      <c r="AD828" s="15"/>
      <c r="AE828" s="15"/>
      <c r="AF828" s="15"/>
      <c r="AG828" s="15"/>
      <c r="AH828" s="15"/>
      <c r="AI828" s="15"/>
      <c r="AJ828" s="15"/>
      <c r="AK828" s="15"/>
      <c r="AL828" s="15"/>
    </row>
    <row r="829" spans="1:38" x14ac:dyDescent="0.2">
      <c r="B829" s="15"/>
      <c r="C829" s="15"/>
      <c r="D829" s="15"/>
      <c r="F829" s="15"/>
      <c r="G829" s="15"/>
      <c r="H829" s="15"/>
      <c r="I829" s="15"/>
      <c r="N829" s="15"/>
      <c r="AB829" s="15"/>
      <c r="AC829" s="15"/>
      <c r="AD829" s="15"/>
      <c r="AE829" s="15"/>
      <c r="AF829" s="15"/>
      <c r="AG829" s="15"/>
      <c r="AH829" s="15"/>
      <c r="AI829" s="15"/>
      <c r="AJ829" s="15"/>
      <c r="AK829" s="15"/>
      <c r="AL829" s="15"/>
    </row>
    <row r="830" spans="1:38" x14ac:dyDescent="0.2">
      <c r="A830" s="34" t="s">
        <v>324</v>
      </c>
      <c r="B830" s="11" t="s">
        <v>1</v>
      </c>
      <c r="C830" s="11" t="s">
        <v>2</v>
      </c>
      <c r="D830" s="11" t="s">
        <v>3</v>
      </c>
      <c r="E830" s="11" t="s">
        <v>229</v>
      </c>
      <c r="F830" s="11" t="s">
        <v>3</v>
      </c>
      <c r="G830" s="11" t="s">
        <v>45</v>
      </c>
      <c r="H830" s="11" t="s">
        <v>242</v>
      </c>
      <c r="I830" s="11" t="s">
        <v>224</v>
      </c>
      <c r="J830" s="11" t="s">
        <v>225</v>
      </c>
      <c r="N830" s="15"/>
      <c r="AB830" s="15"/>
      <c r="AC830" s="15"/>
      <c r="AD830" s="15"/>
      <c r="AE830" s="15"/>
      <c r="AF830" s="15"/>
      <c r="AG830" s="15"/>
      <c r="AH830" s="15"/>
      <c r="AI830" s="15"/>
      <c r="AJ830" s="15"/>
      <c r="AK830" s="15"/>
      <c r="AL830" s="15"/>
    </row>
    <row r="831" spans="1:38" x14ac:dyDescent="0.2">
      <c r="A831" s="35" t="s">
        <v>238</v>
      </c>
      <c r="B831" s="18">
        <f>$C$3+IF($C$87="x",$I$3,$I$2)-$C$120+IF($C$75="x",2)+$I$16-$B$10+$M$94+IF($C$77="x",2)-IF($C$78="x",4)-IF($I$78="x",1)-IF($C$79="x",4)+IF($C$80="x",1)-IF($I$77="x",2)-IF($I$90="x",2)+IF($I$83="x",2)-IF($C$75="x",4)-$C$112+H831+I831+$M$77+IF(H833="x",1)+IF(J833="x",1)+IF($M$76="x",2)+J831+IF($M$85="x",1)+IF($M$113="x",1)+IF($M$120="x",2)+IF($M$119="x",2)+IF($M$105="x",1)+IF($M$110="x",1)+IF($M$111="x",2)+IF($M$112="x",4)+IF($M$108="x",1)-IF($M$109="x",1)-IF($M$99="x",1)+IF($M$90="x",1)+IF($M$117="x",1)+$M$118-IF($I$85="x",4)</f>
        <v>0</v>
      </c>
      <c r="C831" s="162"/>
      <c r="D831" s="18">
        <f>IF(I833="x",2,0)+IF(K833="x",2,0)+H831+J831+$I$2+IF($M$117="x",1)+$M$118+$C$120</f>
        <v>0</v>
      </c>
      <c r="E831" s="162"/>
      <c r="F831" s="12">
        <f>SUM(D831*2)</f>
        <v>0</v>
      </c>
      <c r="G831" s="12" t="str">
        <f>(IF($I$89="x","50 %","")&amp;(IF($C$81="x","20 %",""))&amp;(IF($C$82="x","50 %",""&amp;IF($M$91="x","50 % (5 j 20 %)",""&amp;IF($M$115="x","50 % (5 j 20 %)","")))))</f>
        <v/>
      </c>
      <c r="H831" s="17">
        <v>0</v>
      </c>
      <c r="I831" s="17">
        <v>0</v>
      </c>
      <c r="J831" s="17">
        <v>0</v>
      </c>
      <c r="K831" s="25"/>
      <c r="N831" s="15"/>
      <c r="AB831" s="15"/>
      <c r="AC831" s="15"/>
      <c r="AD831" s="15"/>
      <c r="AE831" s="15"/>
      <c r="AF831" s="15"/>
      <c r="AG831" s="15"/>
      <c r="AH831" s="15"/>
      <c r="AI831" s="15"/>
      <c r="AJ831" s="15"/>
      <c r="AK831" s="15"/>
      <c r="AL831" s="15"/>
    </row>
    <row r="832" spans="1:38" x14ac:dyDescent="0.2">
      <c r="A832" s="163"/>
      <c r="B832" s="15"/>
      <c r="C832" s="15"/>
      <c r="D832" s="121"/>
      <c r="E832" s="82"/>
      <c r="F832" s="82"/>
      <c r="G832" s="120"/>
      <c r="H832" s="14" t="s">
        <v>220</v>
      </c>
      <c r="I832" s="14" t="s">
        <v>221</v>
      </c>
      <c r="J832" s="14" t="s">
        <v>222</v>
      </c>
      <c r="K832" s="14" t="s">
        <v>223</v>
      </c>
      <c r="N832" s="15"/>
      <c r="AB832" s="15"/>
      <c r="AC832" s="15"/>
      <c r="AD832" s="15"/>
      <c r="AE832" s="15"/>
      <c r="AF832" s="15"/>
      <c r="AG832" s="15"/>
      <c r="AH832" s="15"/>
      <c r="AI832" s="15"/>
      <c r="AJ832" s="15"/>
      <c r="AK832" s="15"/>
      <c r="AL832" s="15"/>
    </row>
    <row r="833" spans="1:38" x14ac:dyDescent="0.2">
      <c r="A833" s="163"/>
      <c r="B833" s="15"/>
      <c r="C833" s="15"/>
      <c r="D833" s="25"/>
      <c r="E833" s="25"/>
      <c r="F833" s="25"/>
      <c r="G833" s="82"/>
      <c r="H833" s="28"/>
      <c r="I833" s="28"/>
      <c r="J833" s="28"/>
      <c r="K833" s="28"/>
      <c r="N833" s="15"/>
      <c r="AB833" s="15"/>
      <c r="AC833" s="15"/>
      <c r="AD833" s="15"/>
      <c r="AE833" s="15"/>
      <c r="AF833" s="15"/>
      <c r="AG833" s="15"/>
      <c r="AH833" s="15"/>
      <c r="AI833" s="15"/>
      <c r="AJ833" s="15"/>
      <c r="AK833" s="15"/>
      <c r="AL833" s="15"/>
    </row>
    <row r="834" spans="1:38" x14ac:dyDescent="0.2">
      <c r="A834" s="25"/>
      <c r="B834" s="121"/>
      <c r="C834" s="82"/>
      <c r="D834" s="121"/>
      <c r="E834" s="82"/>
      <c r="F834" s="82"/>
      <c r="G834" s="82"/>
      <c r="H834" s="82"/>
      <c r="N834" s="15"/>
      <c r="AB834" s="15"/>
      <c r="AC834" s="15"/>
      <c r="AD834" s="15"/>
      <c r="AE834" s="15"/>
      <c r="AF834" s="15"/>
      <c r="AG834" s="15"/>
      <c r="AH834" s="15"/>
      <c r="AI834" s="15"/>
      <c r="AJ834" s="15"/>
      <c r="AK834" s="15"/>
      <c r="AL834" s="15"/>
    </row>
    <row r="835" spans="1:38" x14ac:dyDescent="0.2">
      <c r="B835" s="15"/>
      <c r="C835" s="15"/>
      <c r="D835" s="15"/>
      <c r="F835" s="15"/>
      <c r="G835" s="15"/>
      <c r="H835" s="15"/>
      <c r="I835" s="15"/>
      <c r="N835" s="15"/>
      <c r="AB835" s="15"/>
      <c r="AC835" s="15"/>
      <c r="AD835" s="15"/>
      <c r="AE835" s="15"/>
      <c r="AF835" s="15"/>
      <c r="AG835" s="15"/>
      <c r="AH835" s="15"/>
      <c r="AI835" s="15"/>
      <c r="AJ835" s="15"/>
      <c r="AK835" s="15"/>
      <c r="AL835" s="15"/>
    </row>
    <row r="836" spans="1:38" x14ac:dyDescent="0.2">
      <c r="A836" s="34" t="s">
        <v>325</v>
      </c>
      <c r="B836" s="11" t="s">
        <v>1</v>
      </c>
      <c r="C836" s="11" t="s">
        <v>2</v>
      </c>
      <c r="D836" s="11" t="s">
        <v>3</v>
      </c>
      <c r="E836" s="11" t="s">
        <v>229</v>
      </c>
      <c r="F836" s="11" t="s">
        <v>3</v>
      </c>
      <c r="G836" s="11" t="s">
        <v>45</v>
      </c>
      <c r="H836" s="11" t="s">
        <v>242</v>
      </c>
      <c r="I836" s="11" t="s">
        <v>224</v>
      </c>
      <c r="J836" s="11" t="s">
        <v>225</v>
      </c>
      <c r="N836" s="15"/>
      <c r="AB836" s="15"/>
      <c r="AC836" s="15"/>
      <c r="AD836" s="15"/>
      <c r="AE836" s="15"/>
      <c r="AF836" s="15"/>
      <c r="AG836" s="15"/>
      <c r="AH836" s="15"/>
      <c r="AI836" s="15"/>
      <c r="AJ836" s="15"/>
      <c r="AK836" s="15"/>
      <c r="AL836" s="15"/>
    </row>
    <row r="837" spans="1:38" x14ac:dyDescent="0.2">
      <c r="A837" s="35" t="s">
        <v>238</v>
      </c>
      <c r="B837" s="18">
        <f>$C$3+IF($C$87="x",$I$3,$I$2)-$C$120+IF($C$75="x",2)+$I$16-$B$10+$M$94+IF($C$77="x",2)-IF($C$78="x",4)-IF($I$78="x",1)-IF($C$79="x",4)+IF($C$80="x",1)-IF($I$77="x",2)-IF($I$90="x",2)+IF($I$83="x",2)-IF($C$75="x",4)-$C$112+H837+I837+$M$77+IF(H839="x",1)+IF(J839="x",1)+IF($M$76="x",2)+J837+IF($M$85="x",1)+IF($M$113="x",1)+IF($M$120="x",2)+IF($M$119="x",2)+IF($M$105="x",1)+IF($M$110="x",1)+IF($M$111="x",2)+IF($M$112="x",4)+IF($M$108="x",1)-IF($M$109="x",1)-IF($M$99="x",1)+IF($M$90="x",1)-IF($C$108="x",2,5)+IF($M$117="x",1)+$M$118-IF($I$85="x",4)</f>
        <v>-5</v>
      </c>
      <c r="C837" s="162"/>
      <c r="D837" s="18">
        <f>IF(I839="x",2,0)+IF(K839="x",2,0)+H837+J837+INT($I$2/2)+IF($M$117="x",1)+$M$118+$C$120</f>
        <v>0</v>
      </c>
      <c r="E837" s="162"/>
      <c r="F837" s="12">
        <f>SUM(D837*2)</f>
        <v>0</v>
      </c>
      <c r="G837" s="12" t="str">
        <f>(IF($I$89="x","50 %","")&amp;(IF($C$81="x","20 %",""))&amp;(IF($C$82="x","50 %",""&amp;IF($M$91="x","50 % (5 j 20 %)",""&amp;IF($M$115="x","50 % (5 j 20 %)","")))))</f>
        <v/>
      </c>
      <c r="H837" s="17">
        <v>0</v>
      </c>
      <c r="I837" s="17">
        <v>0</v>
      </c>
      <c r="J837" s="17">
        <v>0</v>
      </c>
      <c r="K837" s="25"/>
      <c r="N837" s="15"/>
      <c r="AB837" s="15"/>
      <c r="AC837" s="15"/>
      <c r="AD837" s="15"/>
      <c r="AE837" s="15"/>
      <c r="AF837" s="15"/>
      <c r="AG837" s="15"/>
      <c r="AH837" s="15"/>
      <c r="AI837" s="15"/>
      <c r="AJ837" s="15"/>
      <c r="AK837" s="15"/>
      <c r="AL837" s="15"/>
    </row>
    <row r="838" spans="1:38" x14ac:dyDescent="0.2">
      <c r="A838" s="163"/>
      <c r="B838" s="15"/>
      <c r="C838" s="25"/>
      <c r="D838" s="25"/>
      <c r="E838" s="25"/>
      <c r="F838" s="25"/>
      <c r="G838" s="120"/>
      <c r="H838" s="14" t="s">
        <v>220</v>
      </c>
      <c r="I838" s="14" t="s">
        <v>221</v>
      </c>
      <c r="J838" s="14" t="s">
        <v>222</v>
      </c>
      <c r="K838" s="14" t="s">
        <v>223</v>
      </c>
      <c r="N838" s="15"/>
      <c r="AB838" s="15"/>
      <c r="AC838" s="15"/>
      <c r="AD838" s="15"/>
      <c r="AE838" s="15"/>
      <c r="AF838" s="15"/>
      <c r="AG838" s="15"/>
      <c r="AH838" s="15"/>
      <c r="AI838" s="15"/>
      <c r="AJ838" s="15"/>
      <c r="AK838" s="15"/>
      <c r="AL838" s="15"/>
    </row>
    <row r="839" spans="1:38" x14ac:dyDescent="0.2">
      <c r="A839" s="163"/>
      <c r="B839" s="15"/>
      <c r="C839" s="15"/>
      <c r="D839" s="15"/>
      <c r="F839" s="15"/>
      <c r="G839" s="82"/>
      <c r="H839" s="28"/>
      <c r="I839" s="28"/>
      <c r="J839" s="28"/>
      <c r="K839" s="28"/>
    </row>
    <row r="841" spans="1:38" x14ac:dyDescent="0.2">
      <c r="N841" s="15"/>
      <c r="AB841" s="15"/>
      <c r="AC841" s="15"/>
      <c r="AD841" s="15"/>
      <c r="AE841" s="15"/>
      <c r="AF841" s="15"/>
      <c r="AG841" s="15"/>
      <c r="AH841" s="15"/>
      <c r="AI841" s="15"/>
      <c r="AJ841" s="15"/>
      <c r="AK841" s="15"/>
      <c r="AL841" s="15"/>
    </row>
    <row r="842" spans="1:38" x14ac:dyDescent="0.2">
      <c r="A842" s="34" t="s">
        <v>343</v>
      </c>
      <c r="B842" s="11" t="s">
        <v>1</v>
      </c>
      <c r="C842" s="11" t="s">
        <v>2</v>
      </c>
      <c r="D842" s="11" t="s">
        <v>3</v>
      </c>
      <c r="E842" s="11" t="s">
        <v>229</v>
      </c>
      <c r="F842" s="11" t="s">
        <v>3</v>
      </c>
      <c r="G842" s="11" t="s">
        <v>45</v>
      </c>
      <c r="H842" s="11" t="s">
        <v>345</v>
      </c>
      <c r="I842" s="11" t="s">
        <v>242</v>
      </c>
      <c r="J842" s="11" t="s">
        <v>224</v>
      </c>
      <c r="K842" s="11" t="s">
        <v>225</v>
      </c>
      <c r="N842" s="15"/>
      <c r="AB842" s="15"/>
      <c r="AC842" s="15"/>
      <c r="AD842" s="15"/>
      <c r="AE842" s="15"/>
      <c r="AF842" s="15"/>
      <c r="AG842" s="15"/>
      <c r="AH842" s="15"/>
      <c r="AI842" s="15"/>
      <c r="AJ842" s="15"/>
      <c r="AK842" s="15"/>
      <c r="AL842" s="15"/>
    </row>
    <row r="843" spans="1:38" x14ac:dyDescent="0.2">
      <c r="A843" s="15" t="s">
        <v>219</v>
      </c>
      <c r="B843" s="18">
        <f>_xlfn.IFS($C$3&lt;6,$C$3+IF($C$87="x",$I$3,$I$2)-$C$120+IF($C$75="x",2)+$I$16-$B$10+$M$94+IF($C$77="x",2)-IF($C$78="x",4)-IF($I$78="x",1)-IF($C$79="x",4)+IF($C$80="x",1)-IF($I$77="x",2)-IF($I$90="x",2)+IF($I$83="x",2)-IF($C$75="x",4)-$C$112+I843+$M$77+IF(H845="x",1)+IF(J845="x",1)+IF($M$76="x",2)+J843+IF($M$85="x",1)+IF($M$113="x",1)+IF($M$120="x",2)+IF($M$119="x",2)+IF($M$105="x",1)+IF($M$110="x",1)+IF($M$111="x",2)+IF($M$112="x",4)+IF($M$108="x",1)-IF($M$109="x",1)-IF($M$99="x",1)+IF($M$90="x",1)-IF($I$85="x",4)+IF($M$117="x",1)+$M$118,
$C$3&lt;11,$C$3+IF($C$87="x",$I$3,$I$2)-$C$120+IF($C$75="x",2)+$I$16-$B$10+$M$94+IF($C$77="x",2)-IF($C$78="x",4)-IF($I$78="x",1)-IF($C$79="x",4)+IF($C$80="x",1)-IF($I$77="x",2)-IF($I$90="x",2)+IF($I$83="x",2)-IF($C$83="x",4)-$C$112+I843+$M$77+IF(H845="x",1)+IF(J845="x",1)+IF($M$76="x",2)+J843+IF($M$85="x",1)+IF($M$113="x",1)+IF($M$120="x",2)+IF($M$119="x",2)+IF($M$105="x",1)+IF($M$110="x",1)+IF($M$111="x",2)+IF($M$112="x",4)+IF($M$108="x",1)-IF($M$109="x",1)-IF($M$99="x",1)+IF($M$90="x",1)-IF($I$85="x",4)+IF($M$117="x",1)+$M$118
&amp;"/"&amp;$C$3+IF($C$87="x",$I$3,$I$2)-$C$120+IF($C$75="x",2)+$I$16-$B$10+$M$94+IF($C$77="x",2)-IF($C$78="x",4)-IF($I$78="x",1)-IF($C$79="x",4)+IF($C$80="x",1)-IF($I$77="x",2)-IF($I$90="x",2)+IF($I$83="x",2)-IF($C$83="x",4)-$C$112-5+I843+$M$77+IF(H845="x",1)+IF(J845="x",1)+IF($M$76="x",2)+J843+IF($M$85="x",1)+IF($M$113="x",1)+IF($M$120="x",2)+IF($M$119="x",2)+IF($M$105="x",1)+IF($M$110="x",1)+IF($M$111="x",2)+IF($M$112="x",4)+IF($M$108="x",1)-IF($M$109="x",1)-IF($M$99="x",1)+IF($M$90="x",1)-IF($I$85="x",4)+IF($M$117="x",1)+$M$118,
$C$3&lt;16,$C$3+IF($C$87="x",$I$3,$I$2)-$C$120+IF($C$75="x",2)+$I$16-$B$10+$M$94+IF($C$77="x",2)-IF($C$78="x",4)-IF($I$78="x",1)-IF($C$79="x",4)+IF($C$80="x",1)-IF($I$77="x",2)-IF($I$90="x",2)+IF($I$83="x",2)-IF($C$83="x",4)-$C$112+I843+$M$77+IF(H845="x",1)+IF(J845="x",1)+IF($M$76="x",2)+J843+IF($M$85="x",1)+IF($M$113="x",1)+IF($M$120="x",2)+IF($M$119="x",2)+IF($M$105="x",1)+IF($M$110="x",1)+IF($M$111="x",2)+IF($M$112="x",4)+IF($M$108="x",1)-IF($M$109="x",1)+IF($M$99="x",20)-IF($M$99="x",1)+IF($M$90="x",1)-IF($I$85="x",4)+IF($M$117="x",1)+$M$118
&amp;"/"&amp;$C$3+IF($C$87="x",$I$3,$I$2)-$C$120+IF($C$75="x",2)+$I$16-$B$10+$M$94+IF($C$77="x",2)-IF($C$78="x",4)-IF($I$78="x",1)-IF($C$79="x",4)+IF($C$80="x",1)-IF($I$77="x",2)-IF($I$90="x",2)+IF($I$83="x",2)-IF($C$83="x",4)-$C$112-5+I843+$M$77+IF(H845="x",1)+IF(J845="x",1)+IF($M$76="x",2)+J843+IF($M$85="x",1)+IF($M$113="x",1)+IF($M$120="x",2)+IF($M$119="x",2)+IF($M$105="x",1)+IF($M$110="x",1)+IF($M$111="x",2)+IF($M$112="x",4)+IF($M$108="x",1)-IF($M$109="x",1)-IF($M$99="x",1)+IF($M$90="x",1)-IF($I$85="x",4)+IF($M$117="x",1)+$M$118
&amp;"/"&amp;$C$3+IF($C$87="x",$I$3,$I$2)-$C$120+IF($C$75="x",2)+$I$16-$B$10+$M$94+IF($C$77="x",2)-IF($C$78="x",4)-IF($I$78="x",1)-IF($C$79="x",4)+IF($C$80="x",1)-IF($I$77="x",2)-IF($I$90="x",2)+IF($I$83="x",2)-IF($C$83="x",4)-$C$112-10+I843+$M$77+IF(H845="x",1)+IF(J845="x",1)+IF($M$76="x",2)+J843+IF($M$85="x",1)+IF($M$113="x",1)+IF($M$120="x",2)+IF($M$119="x",2)+IF($M$105="x",1)+IF($M$110="x",1)+IF($M$111="x",2)+IF($M$112="x",4)+IF($M$108="x",1)-IF($M$109="x",1)-IF($M$99="x",1)+IF($M$90="x",1)-IF($I$85="x",4)+IF($M$117="x",1)+$M$118,
$C$3&gt;15,$C$3+IF($C$87="x",$I$3,$I$2)-$C$120+IF($C$75="x",2)+$I$16-$B$10+$M$94+IF($C$77="x",2)-IF($C$78="x",4)-IF($I$78="x",1)-IF($C$79="x",4)+IF($C$80="x",1)-IF($I$77="x",2)-IF($I$90="x",2)+IF($I$83="x",2)-IF($C$83="x",4)-$C$112+I843+$M$77+IF(H845="x",1)+IF(J845="x",1)+IF($M$76="x",2)+J843+IF($M$85="x",1)+IF($M$113="x",1)+IF($M$120="x",2)+IF($M$119="x",2)+IF($M$105="x",1)+IF($M$110="x",1)+IF($M$111="x",2)+IF($M$112="x",4)+IF($M$108="x",1)-IF($M$109="x",1)-IF($M$99="x",1)+IF($M$90="x",1)-IF($I$85="x",4)
&amp;"/"&amp;$C$3+IF($C$87="x",$I$3,$I$2)-$C$120+IF($C$75="x",2)+$I$16-$B$10+$M$94+IF($C$77="x",2)-IF($C$78="x",4)-IF($I$78="x",1)-IF($C$79="x",4)+IF($C$80="x",1)-IF($I$77="x",2)-IF($I$90="x",2)+IF($I$83="x",2)-IF($C$83="x",4)-$C$112-5+I843+$M$77+IF(H845="x",1)+IF(J845="x",1)+IF($M$76="x",2)+J843+IF($M$85="x",1)+IF($M$113="x",1)+IF($M$120="x",2)+IF($M$119="x",2)+IF($M$105="x",1)+IF($M$110="x",1)+IF($M$111="x",2)+IF($M$112="x",4)+IF($M$108="x",1)-IF($M$109="x",1)-IF($M$99="x",1)+IF($M$90="x",1)-IF($I$85="x",4)
&amp;"/"&amp;$C$3+IF($C$87="x",$I$3,$I$2)-$C$120+IF($C$75="x",2)+$I$16-$B$10+$M$94+IF($C$77="x",2)-IF($C$78="x",4)-IF($I$78="x",1)-IF($C$79="x",4)+IF($C$80="x",1)-IF($I$77="x",2)-IF($I$90="x",2)+IF($I$83="x",2)-IF($C$83="x",4)-$C$112-10+I843+$M$77+IF(H845="x",1)+IF(J845="x",1)+IF($M$76="x",2)+J843+IF($M$85="x",1)+IF($M$113="x",1)+IF($M$120="x",2)+IF($M$119="x",2)+IF($M$105="x",1)+IF($M$110="x",1)+IF($M$111="x",2)+IF($M$112="x",4)+IF($M$108="x",1)-IF($M$109="x",1)-IF($M$99="x",1)+IF($M$90="x",1)-IF($I$85="x",4)
&amp;"/"&amp;$C$3+IF($C$87="x",$I$3,$I$2)-$C$120+IF($C$75="x",2)+$I$16-$B$10+$M$94+IF($C$77="x",2)-IF($C$78="x",4)-IF($I$78="x",1)-IF($C$79="x",4)+IF($C$80="x",1)-IF($I$77="x",2)-IF($I$90="x",2)+IF($I$83="x",2)-IF($C$83="x",4)-$C$112-15+I843+$M$77+IF(H845="x",1)+IF(J845="x",1)+IF($M$76="x",2)+J843+IF($M$85="x",1)+IF($M$113="x",1)+IF($M$120="x",2)+IF($M$119="x",2)+IF($M$105="x",1)+IF($M$110="x",1)+IF($M$111="x",2)+IF($M$112="x",4)+IF($M$108="x",1)-IF($M$109="x",1)-IF($M$99="x",1)+IF($M$90="x",1)-IF($I$85="x",4))</f>
        <v>0</v>
      </c>
      <c r="C843" s="40" t="str">
        <f>IF(AND($C$7="Hyvin pieni",H843&lt;5),"1n3",
IF(AND($C$7="Pieni",H843&lt;5),"1n4",
IF(AND($C$7="Keskikokoinen",H843&lt;5),"1n6",
IF(AND($C$7="Iso",H843&lt;5),"1n8",
IF(AND($C$7="Hyvin pieni",H843&lt;8),"1n4",
IF(AND($C$7="Pieni",H843&lt;8),"1n6",
IF(AND($C$7="Keskikokoinen",H843&lt;8),"1n8",
IF(AND($C$7="Iso",H843&lt;8),"2n6",
IF(AND($C$7="Hyvin pieni",H843&lt;12),"1n6",
IF(AND($C$7="Pieni",H843&lt;12),"1n8",
IF(AND($C$7="Keskikokoinen",H843&lt;12),"1n10",
IF(AND($C$7="Iso",H843&lt;12),"2n8",
IF(AND($C$7="Hyvin pieni",H843&lt;16),"1n8",
IF(AND($C$7="Pieni",H843&lt;16),"1n10",
IF(AND($C$7="Keskikokoinen",H843&lt;16),"2n6",
IF(AND($C$7="Iso",H843&lt;16),"3n6",
0))))))))))))))))</f>
        <v>1n6</v>
      </c>
      <c r="D843" s="18">
        <f>SUM($I$2+$C$120)+I843+$M$77+IF(I845="x",2)+IF(K845="x",2)+IF($M$119="x",2)+IF($M$108="x",1)+$M$94-IF($M$109="x",1)+K843</f>
        <v>0</v>
      </c>
      <c r="E843" s="40" t="str">
        <f>IF(AND($C$7="Hyvin pieni",H843&lt;5),"2n3",
IF(AND($C$7="Pieni",H843&lt;5),"2n4",
IF(AND($C$7="Keskikokoinen",H843&lt;5),"2n6",
IF(AND($C$7="Iso",H843&lt;5),"2n8",
IF(AND($C$7="Hyvin pieni",H843&lt;8),"2n4",
IF(AND($C$7="Pieni",H843&lt;8),"2n6",
IF(AND($C$7="Keskikokoinen",H843&lt;8),"2n8",
IF(AND($C$7="Iso",H843&lt;8),"4n6",
IF(AND($C$7="Hyvin pieni",H843&lt;12),"2n6",
IF(AND($C$7="Pieni",H843&lt;12),"2n8",
IF(AND($C$7="Keskikokoinen",H843&lt;12),"2n10",
IF(AND($C$7="Iso",H843&lt;12),"4n8",
IF(AND($C$7="Hyvin pieni",H843&lt;16),"2n8",
IF(AND($C$7="Pieni",H843&lt;16),"3n10",
IF(AND($C$7="Keskikokoinen",H843&lt;16),"4n6",
IF(AND($C$7="Iso",H843&lt;16),"6n6",
0))))))))))))))))</f>
        <v>2n6</v>
      </c>
      <c r="F843" s="12">
        <f>SUM(D843*2)</f>
        <v>0</v>
      </c>
      <c r="G843" s="12" t="str">
        <f>(IF($I$89="x","50 %","")&amp;(IF($C$81="x","20 %",""))&amp;(IF($C$82="x","50 %",""&amp;IF($M$91="x","50 % (5 j 20 %)",""&amp;IF($M$115="x","50 % (5 j 20 %)","")))))</f>
        <v/>
      </c>
      <c r="H843" s="17">
        <v>0</v>
      </c>
      <c r="I843" s="17">
        <v>0</v>
      </c>
      <c r="J843" s="17">
        <v>0</v>
      </c>
      <c r="K843" s="17">
        <v>0</v>
      </c>
      <c r="N843" s="15"/>
      <c r="AB843" s="15"/>
      <c r="AC843" s="15"/>
      <c r="AD843" s="15"/>
      <c r="AE843" s="15"/>
      <c r="AF843" s="15"/>
      <c r="AG843" s="15"/>
      <c r="AH843" s="15"/>
      <c r="AI843" s="15"/>
      <c r="AJ843" s="15"/>
      <c r="AK843" s="15"/>
      <c r="AL843" s="15"/>
    </row>
    <row r="844" spans="1:38" x14ac:dyDescent="0.2">
      <c r="A844" s="16" t="s">
        <v>344</v>
      </c>
      <c r="B844" s="119" t="e">
        <f>_xlfn.IFS(H843&gt;10,$C$3+IF($C$87="x",$I$3,$I$2)-$C$120+IF($C$75="x",2)+$I$16-$B$10+$M$94+IF($C$77="x",2)-IF($C$78="x",4)-IF($I$78="x",1)-IF($C$79="x",4)+IF($C$80="x",1)-IF($I$77="x",2)-IF($I$90="x",2)+IF($I$83="x",2)-IF($C$75="x",4)-$C$112+I843+$M$77+IF(H845="x",1)+IF(J845="x",1)+IF($M$76="x",2)+J843+IF($M$85="x",1)+IF($M$113="x",1)+$M$118+IF($M$117="x",1)+IF($M$105="x",1)+IF($M$110="x",1)+IF($M$111="x",2)+IF($M$112="x",4)+IF($M$108="x",1)-IF($M$109="x",1)-IF($M$99="x",1)+IF($M$90="x",1)-IF($I$85="x",4)
&amp;"/"&amp;$C$3+IF($C$87="x",$I$3,$I$2)-$C$120+IF($C$75="x",2)+$I$16-$B$10+$M$94+IF($C$77="x",2)-IF($C$78="x",4)-IF($I$78="x",1)-IF($C$79="x",4)+IF($C$80="x",1)-IF($I$77="x",2)-IF($I$90="x",2)+IF($I$83="x",2)-IF($C$83="x",4)-$C$112+I843+$M$77+IF(H845="x",1)+IF(J845="x",1)+IF($M$76="x",2)+J843+IF($M$85="x",1)+IF($M$113="x",1)+$M$118+IF($M$117="x",1)+IF($M$105="x",1)+IF($M$110="x",1)+IF($M$111="x",2)+IF($M$112="x",4)+IF($M$108="x",1)-IF($M$109="x",1)-IF($M$99="x",1)+IF($M$90="x",1)-IF($I$85="x",4)
&amp;"/"&amp;$C$3+IF($C$87="x",$I$3,$I$2)-$C$120+IF($C$75="x",2)+$I$16-$B$10+$M$94+IF($C$77="x",2)-IF($C$78="x",4)-IF($I$78="x",1)-IF($C$79="x",4)+IF($C$80="x",1)-IF($I$77="x",2)-IF($I$90="x",2)+IF($I$83="x",2)-IF($C$75="x",4)-$C$112+I843+$M$77+IF(H845="x",1)+IF(J845="x",1)+IF($M$76="x",2)+J843+IF($M$85="x",1)+IF($M$113="x",1)+$M$118+IF($M$117="x",1)+IF($M$105="x",1)+IF($M$110="x",1)+IF($M$111="x",2)+IF($M$112="x",4)+IF($M$108="x",1)-IF($M$109="x",1)-IF($M$99="x",1)+IF($M$90="x",1)-IF($I$85="x",4)
&amp;"/"&amp;$C$3+IF($C$87="x",$I$3,$I$2)-$C$120+IF($C$75="x",2)+$I$16-$B$10+$M$94+IF($C$77="x",2)-IF($C$78="x",4)-IF($I$78="x",1)-IF($C$79="x",4)+IF($C$80="x",1)-IF($I$77="x",2)-IF($I$90="x",2)+IF($I$83="x",2)-IF($C$83="x",4)-$C$112+I843+$M$77+IF(H845="x",1)+IF(J845="x",1)+IF($M$76="x",2)+J843+IF($M$85="x",1)+IF($M$113="x",1)+$M$118+IF($M$117="x",1)+IF($M$105="x",1)+IF($M$110="x",1)+IF($M$111="x",2)+IF($M$112="x",4)+IF($M$108="x",1)-IF($M$109="x",1)-IF($M$99="x",1)+IF($M$90="x",1)-IF($I$85="x",4)-5,
H843&gt;8,$C$3+IF($C$87="x",$I$3,$I$2)-$C$120+IF($C$75="x",2)+$I$16-$B$10+$M$94+IF($C$77="x",2)-IF($C$78="x",4)-IF($I$78="x",1)-IF($C$79="x",4)+IF($C$80="x",1)-IF($I$77="x",2)-IF($I$90="x",2)+IF($I$83="x",2)-IF($C$75="x",4)-$C$112+I843+$M$77+IF(H845="x",1)+IF(J845="x",1)+IF($M$76="x",2)+J843+IF($M$85="x",1)+IF($M$113="x",1)+$M$118+IF($M$117="x",1)+IF($M$105="x",1)+IF($M$110="x",1)+IF($M$111="x",2)+IF($M$112="x",4)+IF($M$108="x",1)-IF($M$109="x",1)-IF($M$99="x",1)+IF($M$90="x",1)-IF($I$85="x",4)
&amp;"/"&amp;$C$3+IF($C$87="x",$I$3,$I$2)-$C$120+IF($C$75="x",2)+$I$16-$B$10+$M$94+IF($C$77="x",2)-IF($C$78="x",4)-IF($I$78="x",1)-IF($C$79="x",4)+IF($C$80="x",1)-IF($I$77="x",2)-IF($I$90="x",2)+IF($I$83="x",2)-IF($C$83="x",4)-$C$112+I843+$M$77+IF(H845="x",1)+IF(J845="x",1)+IF($M$76="x",2)+J843+IF($M$85="x",1)+IF($M$113="x",1)+$M$118+IF($M$117="x",1)+IF($M$105="x",1)+IF($M$110="x",1)+IF($M$111="x",2)+IF($M$112="x",4)+IF($M$108="x",1)-IF($M$109="x",1)-IF($M$99="x",1)+IF($M$90="x",1)-IF($I$85="x",4)
&amp;"/"&amp;$C$3+IF($C$87="x",$I$3,$I$2)-$C$120+IF($C$75="x",2)+$I$16-$B$10+$M$94+IF($C$77="x",2)-IF($C$78="x",4)-IF($I$78="x",1)-IF($C$79="x",4)+IF($C$80="x",1)-IF($I$77="x",2)-IF($I$90="x",2)+IF($I$83="x",2)-IF($C$83="x",4)-$C$112+I843+$M$77+IF(H845="x",1)+IF(J845="x",1)+IF($M$76="x",2)+J843+IF($M$85="x",1)+IF($M$113="x",1)+$M$118+IF($M$117="x",1)+IF($M$105="x",1)+IF($M$110="x",1)+IF($M$111="x",2)+IF($M$112="x",4)+IF($M$108="x",1)-IF($M$109="x",1)-IF($M$99="x",1)+IF($M$90="x",1)-IF($I$85="x",4)-5,
H843=8,$C$3+IF($C$87="x",$I$3,$I$2)-$C$120+IF($C$75="x",2)+$I$16-$B$10+$M$94+IF($C$77="x",2)-IF($C$78="x",4)-IF($I$78="x",1)-IF($C$79="x",4)+IF($C$80="x",1)-IF($I$77="x",2)-IF($I$90="x",2)+IF($I$83="x",2)-IF($C$75="x",4)-$C$112+I843+$M$77+IF(H845="x",1)+IF(J845="x",1)+IF($M$76="x",2)+J843+IF($M$85="x",1)+IF($M$113="x",1)+$M$118+IF($M$117="x",1)+IF($M$105="x",1)+IF($M$110="x",1)+IF($M$111="x",2)+IF($M$112="x",4)+IF($M$108="x",1)-IF($M$109="x",1)-IF($M$99="x",1)+IF($M$90="x",1)-IF($I$85="x",4)-1
&amp;"/"&amp;$C$3+IF($C$87="x",$I$3,$I$2)-$C$120+IF($C$75="x",2)+$I$16-$B$10+$M$94+IF($C$77="x",2)-IF($C$78="x",4)-IF($I$78="x",1)-IF($C$79="x",4)+IF($C$80="x",1)-IF($I$77="x",2)-IF($I$90="x",2)+IF($I$83="x",2)-IF($C$83="x",4)-$C$112+I843+$M$77+IF(H845="x",1)+IF(J845="x",1)+IF($M$76="x",2)+J843+IF($M$85="x",1)+IF($M$113="x",1)+$M$118+IF($M$117="x",1)+IF($M$105="x",1)+IF($M$110="x",1)+IF($M$111="x",2)+IF($M$112="x",4)+IF($M$108="x",1)-IF($M$109="x",1)-IF($M$99="x",1)+IF($M$90="x",1)-IF($I$85="x",4)-1
&amp;"/"&amp;$C$3+IF($C$87="x",$I$3,$I$2)-$C$120+IF($C$75="x",2)+$I$16-$B$10+$M$94+IF($C$77="x",2)-IF($C$78="x",4)-IF($I$78="x",1)-IF($C$79="x",4)+IF($C$80="x",1)-IF($I$77="x",2)-IF($I$90="x",2)+IF($I$83="x",2)-IF($C$83="x",4)-$C$112+I843+$M$77+IF(H845="x",1)+IF(J845="x",1)+IF($M$76="x",2)+J843+IF($M$85="x",1)+IF($M$113="x",1)+$M$118+IF($M$117="x",1)+IF($M$105="x",1)+IF($M$110="x",1)+IF($M$111="x",2)+IF($M$112="x",4)+IF($M$108="x",1)-IF($M$109="x",1)-IF($M$99="x",1)+IF($M$90="x",1)-IF($I$85="x",4)-1-5,
H843&gt;4,$C$3+IF($C$87="x",$I$3,$I$2)-$C$120+IF($C$75="x",2)+$I$16-$B$10+$M$94+IF($C$77="x",2)-IF($C$78="x",4)-IF($I$78="x",1)-IF($C$79="x",4)+IF($C$80="x",1)-IF($I$77="x",2)-IF($I$90="x",2)+IF($I$83="x",2)-IF($C$75="x",4)-$C$112+I843+$M$77+IF(H845="x",1)+IF(J845="x",1)+IF($M$76="x",2)+J843+IF($M$85="x",1)+IF($M$113="x",1)+$M$118+IF($M$117="x",1)+IF($M$105="x",1)+IF($M$110="x",1)+IF($M$111="x",2)+IF($M$112="x",4)+IF($M$108="x",1)-IF($M$109="x",1)-IF($M$99="x",1)+IF($M$90="x",1)-IF($I$85="x",4)-1
&amp;"/"&amp;$C$3+IF($C$87="x",$I$3,$I$2)-$C$120+IF($C$75="x",2)+$I$16-$B$10+$M$94+IF($C$77="x",2)-IF($C$78="x",4)-IF($I$78="x",1)-IF($C$79="x",4)+IF($C$80="x",1)-IF($I$77="x",2)-IF($I$90="x",2)+IF($I$83="x",2)-IF($C$75="x",4)-$C$112+I843+$M$77+IF(H845="x",1)+IF(J845="x",1)+IF($M$76="x",2)+J843+IF($M$85="x",1)+IF($M$113="x",1)+$M$118+IF($M$117="x",1)+IF($M$105="x",1)+IF($M$110="x",1)+IF($M$111="x",2)+IF($M$112="x",4)+IF($M$108="x",1)-IF($M$109="x",1)-IF($M$99="x",1)+IF($M$90="x",1)-IF($I$85="x",4)-1,
H843&gt;=1,$C$3+IF($C$87="x",$I$3,$I$2)-$C$120+IF($C$75="x",2)+$I$16-$B$10+$M$94+IF($C$77="x",2)-IF($C$78="x",4)-IF($I$78="x",1)-IF($C$79="x",4)+IF($C$80="x",1)-IF($I$77="x",2)-IF($I$90="x",2)+IF($I$83="x",2)-IF($C$75="x",4)-$C$112+I843+$M$77+IF(H845="x",1)+IF(J845="x",1)+IF($M$76="x",2)+J843+IF($M$85="x",1)+IF($M$113="x",1)+$M$118+IF($M$117="x",1)+IF($M$105="x",1)+IF($M$110="x",1)+IF($M$111="x",2)+IF($M$112="x",4)+IF($M$108="x",1)-IF($M$109="x",1)-IF($M$99="x",1)+IF($M$90="x",1)-IF($I$85="x",4)-2
&amp;"/"&amp;$C$3+IF($C$87="x",$I$3,$I$2)-$C$120+IF($C$75="x",2)+$I$16-$B$10+$M$94+IF($C$77="x",2)-IF($C$78="x",4)-IF($I$78="x",1)-IF($C$79="x",4)+IF($C$80="x",1)-IF($I$77="x",2)-IF($I$90="x",2)+IF($I$83="x",2)-IF($C$75="x",4)-$C$112+I843+$M$77+IF(H845="x",1)+IF(J845="x",1)+IF($M$76="x",2)+J843+IF($M$85="x",1)+IF($M$113="x",1)+$M$118+IF($M$117="x",1)+IF($M$105="x",1)+IF($M$110="x",1)+IF($M$111="x",2)+IF($M$112="x",4)+IF($M$108="x",1)-IF($M$109="x",1)-IF($M$99="x",1)+IF($M$90="x",1)-IF($I$85="x",4)-2)</f>
        <v>#N/A</v>
      </c>
      <c r="C844" s="114" t="str">
        <f>IF(AND($C$7="Hyvin pieni",H843&lt;5),"1n3",
IF(AND($C$7="Pieni",H843&lt;5),"1n4",
IF(AND($C$7="Keskikokoinen",H843&lt;5),"1n6",
IF(AND($C$7="Iso",H843&lt;5),"1n8",
IF(AND($C$7="Hyvin pieni",H843&lt;8),"1n4",
IF(AND($C$7="Pieni",H843&lt;8),"1n6",
IF(AND($C$7="Keskikokoinen",H843&lt;8),"1n8",
IF(AND($C$7="Iso",H843&lt;8),"2n6",
IF(AND($C$7="Hyvin pieni",H843&lt;12),"1n6",
IF(AND($C$7="Pieni",H843&lt;12),"1n8",
IF(AND($C$7="Keskikokoinen",H843&lt;12),"1n10",
IF(AND($C$7="Iso",H843&lt;12),"2n8",
IF(AND($C$7="Hyvin pieni",H843&lt;16),"1n8",
IF(AND($C$7="Pieni",H843&lt;16),"1n10",
IF(AND($C$7="Keskikokoinen",H843&lt;16),"2n6",
IF(AND($C$7="Iso",H843&lt;16),"3n6",
0))))))))))))))))</f>
        <v>1n6</v>
      </c>
      <c r="D844" s="119">
        <f>SUM($I$2+$C$120)+I843+$M$77+IF(I845="x",2)+IF(K845="x",2)+IF($M$119="x",2)+IF($M$108="x",1)+$M$94-IF($M$109="x",1)+K843</f>
        <v>0</v>
      </c>
      <c r="E844" s="114" t="str">
        <f>IF(AND($C$7="Hyvin pieni",H843&lt;5),"2n3",
IF(AND($C$7="Pieni",H843&lt;5),"2n4",
IF(AND($C$7="Keskikokoinen",H843&lt;5),"2n6",
IF(AND($C$7="Iso",H843&lt;5),"2n8",
IF(AND($C$7="Hyvin pieni",H843&lt;8),"2n4",
IF(AND($C$7="Pieni",H843&lt;8),"2n6",
IF(AND($C$7="Keskikokoinen",H843&lt;8),"2n8",
IF(AND($C$7="Iso",H843&lt;8),"4n6",
IF(AND($C$7="Hyvin pieni",H843&lt;12),"2n6",
IF(AND($C$7="Pieni",H843&lt;12),"2n8",
IF(AND($C$7="Keskikokoinen",H843&lt;12),"2n10",
IF(AND($C$7="Iso",H843&lt;12),"4n8",
IF(AND($C$7="Hyvin pieni",H843&lt;16),"2n8",
IF(AND($C$7="Pieni",H843&lt;16),"3n10",
IF(AND($C$7="Keskikokoinen",H843&lt;16),"4n6",
IF(AND($C$7="Iso",H843&lt;16),"6n6",
0))))))))))))))))</f>
        <v>2n6</v>
      </c>
      <c r="F844" s="120">
        <f>SUM(D844*2)</f>
        <v>0</v>
      </c>
      <c r="G844" s="120" t="str">
        <f>(IF($I$89="x","50 %","")&amp;(IF($C$81="x","20 %",""))&amp;(IF($C$82="x","50 %","")))</f>
        <v/>
      </c>
      <c r="H844" s="14" t="s">
        <v>220</v>
      </c>
      <c r="I844" s="14" t="s">
        <v>221</v>
      </c>
      <c r="J844" s="14" t="s">
        <v>222</v>
      </c>
      <c r="K844" s="14" t="s">
        <v>223</v>
      </c>
      <c r="N844" s="15"/>
      <c r="AB844" s="15"/>
      <c r="AC844" s="15"/>
      <c r="AD844" s="15"/>
      <c r="AE844" s="15"/>
      <c r="AF844" s="15"/>
      <c r="AG844" s="15"/>
      <c r="AH844" s="15"/>
      <c r="AI844" s="15"/>
      <c r="AJ844" s="15"/>
      <c r="AK844" s="15"/>
      <c r="AL844" s="15"/>
    </row>
    <row r="845" spans="1:38" x14ac:dyDescent="0.2">
      <c r="A845" s="125" t="s">
        <v>357</v>
      </c>
      <c r="B845" s="97">
        <f>10+INT($B$2/2)+$I$6</f>
        <v>10</v>
      </c>
      <c r="C845" s="54"/>
      <c r="D845" s="123"/>
      <c r="E845" s="54"/>
      <c r="F845" s="124"/>
      <c r="G845" s="123"/>
      <c r="H845" s="28"/>
      <c r="I845" s="28"/>
      <c r="J845" s="28"/>
      <c r="K845" s="28"/>
      <c r="N845" s="15"/>
      <c r="AB845" s="15"/>
      <c r="AC845" s="15"/>
      <c r="AD845" s="15"/>
      <c r="AE845" s="15"/>
      <c r="AF845" s="15"/>
      <c r="AG845" s="15"/>
      <c r="AH845" s="15"/>
      <c r="AI845" s="15"/>
      <c r="AJ845" s="15"/>
      <c r="AK845" s="15"/>
      <c r="AL845" s="15"/>
    </row>
    <row r="846" spans="1:38" x14ac:dyDescent="0.2">
      <c r="N846" s="15"/>
      <c r="AB846" s="15"/>
      <c r="AC846" s="15"/>
      <c r="AD846" s="15"/>
      <c r="AE846" s="15"/>
      <c r="AF846" s="15"/>
      <c r="AG846" s="15"/>
      <c r="AH846" s="15"/>
      <c r="AI846" s="15"/>
      <c r="AJ846" s="15"/>
      <c r="AK846" s="15"/>
      <c r="AL846" s="15"/>
    </row>
  </sheetData>
  <sortState xmlns:xlrd2="http://schemas.microsoft.com/office/spreadsheetml/2017/richdata2" ref="B40:C53">
    <sortCondition ref="B40"/>
  </sortState>
  <phoneticPr fontId="12" type="noConversion"/>
  <conditionalFormatting sqref="D20">
    <cfRule type="expression" dxfId="5653" priority="7784">
      <formula>N17="x"</formula>
    </cfRule>
  </conditionalFormatting>
  <conditionalFormatting sqref="E20">
    <cfRule type="expression" dxfId="5652" priority="7785">
      <formula>N17="x"</formula>
    </cfRule>
  </conditionalFormatting>
  <conditionalFormatting sqref="M35:M36 AA26 AA31:AA32 AA28 AA42:AA45 AA37 A32:F32 I93:I94 C35 M22:O25 J22:L26 E76:H92 E10:E36 E47:E96 A842:K842">
    <cfRule type="endsWith" dxfId="5651" priority="7726" operator="endsWith" text="x">
      <formula>RIGHT(A10,LEN("x"))="x"</formula>
    </cfRule>
  </conditionalFormatting>
  <conditionalFormatting sqref="B10">
    <cfRule type="cellIs" dxfId="5650" priority="7725" operator="greaterThan">
      <formula>0</formula>
    </cfRule>
  </conditionalFormatting>
  <conditionalFormatting sqref="J2:L7">
    <cfRule type="cellIs" dxfId="5649" priority="7722" operator="greaterThan">
      <formula>0</formula>
    </cfRule>
  </conditionalFormatting>
  <conditionalFormatting sqref="B567">
    <cfRule type="endsWith" dxfId="5648" priority="7720" operator="endsWith" text="x">
      <formula>RIGHT(B567,LEN("x"))="x"</formula>
    </cfRule>
  </conditionalFormatting>
  <conditionalFormatting sqref="B204">
    <cfRule type="endsWith" dxfId="5647" priority="7689" operator="endsWith" text="x">
      <formula>RIGHT(B204,LEN("x"))="x"</formula>
    </cfRule>
  </conditionalFormatting>
  <conditionalFormatting sqref="M106">
    <cfRule type="cellIs" dxfId="5646" priority="7703" operator="greaterThan">
      <formula>0</formula>
    </cfRule>
  </conditionalFormatting>
  <conditionalFormatting sqref="M116">
    <cfRule type="cellIs" dxfId="5645" priority="7700" operator="greaterThan">
      <formula>0</formula>
    </cfRule>
  </conditionalFormatting>
  <conditionalFormatting sqref="B568">
    <cfRule type="endsWith" dxfId="5644" priority="7695" operator="endsWith" text="x">
      <formula>RIGHT(B568,LEN("x"))="x"</formula>
    </cfRule>
  </conditionalFormatting>
  <conditionalFormatting sqref="M2:M7">
    <cfRule type="endsWith" dxfId="5643" priority="7694" operator="endsWith" text="x">
      <formula>RIGHT(M2,LEN("x"))="x"</formula>
    </cfRule>
  </conditionalFormatting>
  <conditionalFormatting sqref="M2:M7">
    <cfRule type="cellIs" dxfId="5642" priority="7693" operator="greaterThan">
      <formula>0</formula>
    </cfRule>
  </conditionalFormatting>
  <conditionalFormatting sqref="B205">
    <cfRule type="endsWith" dxfId="5641" priority="7688" operator="endsWith" text="x">
      <formula>RIGHT(B205,LEN("x"))="x"</formula>
    </cfRule>
  </conditionalFormatting>
  <conditionalFormatting sqref="F203">
    <cfRule type="endsWith" dxfId="5640" priority="7680" operator="endsWith" text="x">
      <formula>RIGHT(F203,LEN("x"))="x"</formula>
    </cfRule>
  </conditionalFormatting>
  <conditionalFormatting sqref="G204">
    <cfRule type="endsWith" dxfId="5639" priority="7679" operator="endsWith" text="x">
      <formula>RIGHT(G204,LEN("x"))="x"</formula>
    </cfRule>
  </conditionalFormatting>
  <conditionalFormatting sqref="A206">
    <cfRule type="endsWith" dxfId="5638" priority="7677" operator="endsWith" text="x">
      <formula>RIGHT(A206,LEN("x"))="x"</formula>
    </cfRule>
  </conditionalFormatting>
  <conditionalFormatting sqref="B206 D206 G206">
    <cfRule type="endsWith" dxfId="5637" priority="7676" operator="endsWith" text="x">
      <formula>RIGHT(B206,LEN("x"))="x"</formula>
    </cfRule>
  </conditionalFormatting>
  <conditionalFormatting sqref="F206">
    <cfRule type="endsWith" dxfId="5636" priority="7673" operator="endsWith" text="x">
      <formula>RIGHT(F206,LEN("x"))="x"</formula>
    </cfRule>
  </conditionalFormatting>
  <conditionalFormatting sqref="E566">
    <cfRule type="endsWith" dxfId="5635" priority="7626" operator="endsWith" text="x">
      <formula>RIGHT(E566,LEN("x"))="x"</formula>
    </cfRule>
  </conditionalFormatting>
  <conditionalFormatting sqref="B706">
    <cfRule type="endsWith" dxfId="5634" priority="7655" operator="endsWith" text="x">
      <formula>RIGHT(B706,LEN("x"))="x"</formula>
    </cfRule>
  </conditionalFormatting>
  <conditionalFormatting sqref="A809:D809 A811:G812 A810 C810:D810 F809:G810">
    <cfRule type="endsWith" dxfId="5633" priority="7654" operator="endsWith" text="x">
      <formula>RIGHT(A809,LEN("x"))="x"</formula>
    </cfRule>
  </conditionalFormatting>
  <conditionalFormatting sqref="B810">
    <cfRule type="endsWith" dxfId="5632" priority="7645" operator="endsWith" text="x">
      <formula>RIGHT(B810,LEN("x"))="x"</formula>
    </cfRule>
  </conditionalFormatting>
  <conditionalFormatting sqref="E809">
    <cfRule type="endsWith" dxfId="5631" priority="7630" operator="endsWith" text="x">
      <formula>RIGHT(E809,LEN("x"))="x"</formula>
    </cfRule>
  </conditionalFormatting>
  <conditionalFormatting sqref="E705">
    <cfRule type="endsWith" dxfId="5630" priority="7629" operator="endsWith" text="x">
      <formula>RIGHT(E705,LEN("x"))="x"</formula>
    </cfRule>
  </conditionalFormatting>
  <conditionalFormatting sqref="E202">
    <cfRule type="endsWith" dxfId="5629" priority="7627" operator="endsWith" text="x">
      <formula>RIGHT(E202,LEN("x"))="x"</formula>
    </cfRule>
  </conditionalFormatting>
  <conditionalFormatting sqref="A737:K741 A735:G736">
    <cfRule type="endsWith" dxfId="5628" priority="7624" operator="endsWith" text="x">
      <formula>RIGHT(A735,LEN("x"))="x"</formula>
    </cfRule>
  </conditionalFormatting>
  <conditionalFormatting sqref="A731:D731 A733:G734 A732 C732:G732 F731:G731">
    <cfRule type="endsWith" dxfId="5627" priority="7623" operator="endsWith" text="x">
      <formula>RIGHT(A731,LEN("x"))="x"</formula>
    </cfRule>
  </conditionalFormatting>
  <conditionalFormatting sqref="B732">
    <cfRule type="endsWith" dxfId="5626" priority="7616" operator="endsWith" text="x">
      <formula>RIGHT(B732,LEN("x"))="x"</formula>
    </cfRule>
  </conditionalFormatting>
  <conditionalFormatting sqref="A717:K717">
    <cfRule type="endsWith" dxfId="5625" priority="6987" operator="endsWith" text="x">
      <formula>RIGHT(A717,LEN("x"))="x"</formula>
    </cfRule>
  </conditionalFormatting>
  <conditionalFormatting sqref="E731">
    <cfRule type="endsWith" dxfId="5624" priority="7612" operator="endsWith" text="x">
      <formula>RIGHT(E731,LEN("x"))="x"</formula>
    </cfRule>
  </conditionalFormatting>
  <conditionalFormatting sqref="A654:A655 C654:G655">
    <cfRule type="endsWith" dxfId="5623" priority="7611" operator="endsWith" text="x">
      <formula>RIGHT(A654,LEN("x"))="x"</formula>
    </cfRule>
  </conditionalFormatting>
  <conditionalFormatting sqref="A650:D650 F650:G650 A651:A653 C651:G653">
    <cfRule type="endsWith" dxfId="5622" priority="7610" operator="endsWith" text="x">
      <formula>RIGHT(A650,LEN("x"))="x"</formula>
    </cfRule>
  </conditionalFormatting>
  <conditionalFormatting sqref="C573:C575">
    <cfRule type="endsWith" dxfId="5621" priority="7563" operator="endsWith" text="x">
      <formula>RIGHT(C573,LEN("x"))="x"</formula>
    </cfRule>
  </conditionalFormatting>
  <conditionalFormatting sqref="E650">
    <cfRule type="endsWith" dxfId="5620" priority="7599" operator="endsWith" text="x">
      <formula>RIGHT(E650,LEN("x"))="x"</formula>
    </cfRule>
  </conditionalFormatting>
  <conditionalFormatting sqref="J826:K827 H826">
    <cfRule type="endsWith" dxfId="5619" priority="7598" operator="endsWith" text="x">
      <formula>RIGHT(H826,LEN("x"))="x"</formula>
    </cfRule>
  </conditionalFormatting>
  <conditionalFormatting sqref="G822">
    <cfRule type="endsWith" dxfId="5618" priority="7597" operator="endsWith" text="x">
      <formula>RIGHT(G822,LEN("x"))="x"</formula>
    </cfRule>
  </conditionalFormatting>
  <conditionalFormatting sqref="H826">
    <cfRule type="endsWith" dxfId="5617" priority="7596" operator="endsWith" text="x">
      <formula>RIGHT(H826,LEN("x"))="x"</formula>
    </cfRule>
  </conditionalFormatting>
  <conditionalFormatting sqref="I824:K825">
    <cfRule type="endsWith" dxfId="5616" priority="7593" operator="endsWith" text="x">
      <formula>RIGHT(I824,LEN("x"))="x"</formula>
    </cfRule>
  </conditionalFormatting>
  <conditionalFormatting sqref="I824:K825">
    <cfRule type="endsWith" dxfId="5615" priority="7592" operator="endsWith" text="x">
      <formula>RIGHT(I824,LEN("x"))="x"</formula>
    </cfRule>
  </conditionalFormatting>
  <conditionalFormatting sqref="G833">
    <cfRule type="endsWith" dxfId="5614" priority="7590" operator="endsWith" text="x">
      <formula>RIGHT(G833,LEN("x"))="x"</formula>
    </cfRule>
  </conditionalFormatting>
  <conditionalFormatting sqref="G832">
    <cfRule type="endsWith" dxfId="5613" priority="7589" operator="endsWith" text="x">
      <formula>RIGHT(G832,LEN("x"))="x"</formula>
    </cfRule>
  </conditionalFormatting>
  <conditionalFormatting sqref="G627:K627 G839 G836">
    <cfRule type="endsWith" dxfId="5612" priority="7586" operator="endsWith" text="x">
      <formula>RIGHT(G627,LEN("x"))="x"</formula>
    </cfRule>
  </conditionalFormatting>
  <conditionalFormatting sqref="G838">
    <cfRule type="endsWith" dxfId="5611" priority="7585" operator="endsWith" text="x">
      <formula>RIGHT(G838,LEN("x"))="x"</formula>
    </cfRule>
  </conditionalFormatting>
  <conditionalFormatting sqref="G626">
    <cfRule type="endsWith" dxfId="5610" priority="7584" operator="endsWith" text="x">
      <formula>RIGHT(G626,LEN("x"))="x"</formula>
    </cfRule>
  </conditionalFormatting>
  <conditionalFormatting sqref="A579:B580 A578:D578 F578:G578 D579:G580 D581:F581 A581">
    <cfRule type="endsWith" dxfId="5609" priority="7562" operator="endsWith" text="x">
      <formula>RIGHT(A578,LEN("x"))="x"</formula>
    </cfRule>
  </conditionalFormatting>
  <conditionalFormatting sqref="I687">
    <cfRule type="endsWith" dxfId="5608" priority="7385" operator="endsWith" text="x">
      <formula>RIGHT(I687,LEN("x"))="x"</formula>
    </cfRule>
  </conditionalFormatting>
  <conditionalFormatting sqref="E572">
    <cfRule type="endsWith" dxfId="5607" priority="7564" operator="endsWith" text="x">
      <formula>RIGHT(E572,LEN("x"))="x"</formula>
    </cfRule>
  </conditionalFormatting>
  <conditionalFormatting sqref="H836:J836">
    <cfRule type="endsWith" dxfId="5606" priority="7579" operator="endsWith" text="x">
      <formula>RIGHT(H836,LEN("x"))="x"</formula>
    </cfRule>
  </conditionalFormatting>
  <conditionalFormatting sqref="E590">
    <cfRule type="endsWith" dxfId="5605" priority="7534" operator="endsWith" text="x">
      <formula>RIGHT(E590,LEN("x"))="x"</formula>
    </cfRule>
  </conditionalFormatting>
  <conditionalFormatting sqref="E206">
    <cfRule type="endsWith" dxfId="5604" priority="6799" operator="endsWith" text="x">
      <formula>RIGHT(E206,LEN("x"))="x"</formula>
    </cfRule>
  </conditionalFormatting>
  <conditionalFormatting sqref="A825">
    <cfRule type="endsWith" dxfId="5603" priority="7572" operator="endsWith" text="x">
      <formula>RIGHT(A825,LEN("x"))="x"</formula>
    </cfRule>
  </conditionalFormatting>
  <conditionalFormatting sqref="A826">
    <cfRule type="endsWith" dxfId="5602" priority="7571" operator="endsWith" text="x">
      <formula>RIGHT(A826,LEN("x"))="x"</formula>
    </cfRule>
  </conditionalFormatting>
  <conditionalFormatting sqref="A827">
    <cfRule type="endsWith" dxfId="5601" priority="7570" operator="endsWith" text="x">
      <formula>RIGHT(A827,LEN("x"))="x"</formula>
    </cfRule>
  </conditionalFormatting>
  <conditionalFormatting sqref="A573:B574 A572:D572 F572:G572 D573:G574 D575:F575 A575">
    <cfRule type="endsWith" dxfId="5600" priority="7569" operator="endsWith" text="x">
      <formula>RIGHT(A572,LEN("x"))="x"</formula>
    </cfRule>
  </conditionalFormatting>
  <conditionalFormatting sqref="B573">
    <cfRule type="endsWith" dxfId="5599" priority="7568" operator="endsWith" text="x">
      <formula>RIGHT(B573,LEN("x"))="x"</formula>
    </cfRule>
  </conditionalFormatting>
  <conditionalFormatting sqref="B574">
    <cfRule type="endsWith" dxfId="5598" priority="7567" operator="endsWith" text="x">
      <formula>RIGHT(B574,LEN("x"))="x"</formula>
    </cfRule>
  </conditionalFormatting>
  <conditionalFormatting sqref="I686">
    <cfRule type="endsWith" dxfId="5597" priority="7386" operator="endsWith" text="x">
      <formula>RIGHT(I686,LEN("x"))="x"</formula>
    </cfRule>
  </conditionalFormatting>
  <conditionalFormatting sqref="C579:C581">
    <cfRule type="endsWith" dxfId="5596" priority="7554" operator="endsWith" text="x">
      <formula>RIGHT(C579,LEN("x"))="x"</formula>
    </cfRule>
  </conditionalFormatting>
  <conditionalFormatting sqref="A682:D682 C683:E683 F682:G682 A683:A685 C684:F684 C685:G685">
    <cfRule type="endsWith" dxfId="5595" priority="7393" operator="endsWith" text="x">
      <formula>RIGHT(A682,LEN("x"))="x"</formula>
    </cfRule>
  </conditionalFormatting>
  <conditionalFormatting sqref="E578">
    <cfRule type="endsWith" dxfId="5594" priority="7557" operator="endsWith" text="x">
      <formula>RIGHT(E578,LEN("x"))="x"</formula>
    </cfRule>
  </conditionalFormatting>
  <conditionalFormatting sqref="B579">
    <cfRule type="endsWith" dxfId="5593" priority="7561" operator="endsWith" text="x">
      <formula>RIGHT(B579,LEN("x"))="x"</formula>
    </cfRule>
  </conditionalFormatting>
  <conditionalFormatting sqref="B580">
    <cfRule type="endsWith" dxfId="5592" priority="7560" operator="endsWith" text="x">
      <formula>RIGHT(B580,LEN("x"))="x"</formula>
    </cfRule>
  </conditionalFormatting>
  <conditionalFormatting sqref="K686:K687 A686:A687 C686:F686 C687:G687 I686:I687">
    <cfRule type="endsWith" dxfId="5591" priority="7394" operator="endsWith" text="x">
      <formula>RIGHT(A686,LEN("x"))="x"</formula>
    </cfRule>
  </conditionalFormatting>
  <conditionalFormatting sqref="A596:D596 F596:G596 A597:G598 A599 C599:G599">
    <cfRule type="endsWith" dxfId="5590" priority="7532" operator="endsWith" text="x">
      <formula>RIGHT(A596,LEN("x"))="x"</formula>
    </cfRule>
  </conditionalFormatting>
  <conditionalFormatting sqref="B597">
    <cfRule type="endsWith" dxfId="5589" priority="7531" operator="endsWith" text="x">
      <formula>RIGHT(B597,LEN("x"))="x"</formula>
    </cfRule>
  </conditionalFormatting>
  <conditionalFormatting sqref="B598">
    <cfRule type="endsWith" dxfId="5588" priority="7530" operator="endsWith" text="x">
      <formula>RIGHT(B598,LEN("x"))="x"</formula>
    </cfRule>
  </conditionalFormatting>
  <conditionalFormatting sqref="E596">
    <cfRule type="endsWith" dxfId="5587" priority="7527" operator="endsWith" text="x">
      <formula>RIGHT(E596,LEN("x"))="x"</formula>
    </cfRule>
  </conditionalFormatting>
  <conditionalFormatting sqref="A584">
    <cfRule type="endsWith" dxfId="5586" priority="7547" operator="endsWith" text="x">
      <formula>RIGHT(A584,LEN("x"))="x"</formula>
    </cfRule>
  </conditionalFormatting>
  <conditionalFormatting sqref="C585:C587">
    <cfRule type="endsWith" dxfId="5585" priority="7540" operator="endsWith" text="x">
      <formula>RIGHT(C585,LEN("x"))="x"</formula>
    </cfRule>
  </conditionalFormatting>
  <conditionalFormatting sqref="G683">
    <cfRule type="endsWith" dxfId="5584" priority="7368" operator="endsWith" text="x">
      <formula>RIGHT(G683,LEN("x"))="x"</formula>
    </cfRule>
  </conditionalFormatting>
  <conditionalFormatting sqref="E584">
    <cfRule type="endsWith" dxfId="5583" priority="7541" operator="endsWith" text="x">
      <formula>RIGHT(E584,LEN("x"))="x"</formula>
    </cfRule>
  </conditionalFormatting>
  <conditionalFormatting sqref="A585:B586 A584:D584 F584:G584 D585:G586 D587:F587 A587">
    <cfRule type="endsWith" dxfId="5582" priority="7546" operator="endsWith" text="x">
      <formula>RIGHT(A584,LEN("x"))="x"</formula>
    </cfRule>
  </conditionalFormatting>
  <conditionalFormatting sqref="B585">
    <cfRule type="endsWith" dxfId="5581" priority="7545" operator="endsWith" text="x">
      <formula>RIGHT(B585,LEN("x"))="x"</formula>
    </cfRule>
  </conditionalFormatting>
  <conditionalFormatting sqref="B586">
    <cfRule type="endsWith" dxfId="5580" priority="7544" operator="endsWith" text="x">
      <formula>RIGHT(B586,LEN("x"))="x"</formula>
    </cfRule>
  </conditionalFormatting>
  <conditionalFormatting sqref="A592:G592 A590:D591 F590:G591 A593 C593:F593">
    <cfRule type="endsWith" dxfId="5579" priority="7539" operator="endsWith" text="x">
      <formula>RIGHT(A590,LEN("x"))="x"</formula>
    </cfRule>
  </conditionalFormatting>
  <conditionalFormatting sqref="B591">
    <cfRule type="endsWith" dxfId="5578" priority="7538" operator="endsWith" text="x">
      <formula>RIGHT(B591,LEN("x"))="x"</formula>
    </cfRule>
  </conditionalFormatting>
  <conditionalFormatting sqref="B592">
    <cfRule type="endsWith" dxfId="5577" priority="7537" operator="endsWith" text="x">
      <formula>RIGHT(B592,LEN("x"))="x"</formula>
    </cfRule>
  </conditionalFormatting>
  <conditionalFormatting sqref="F675">
    <cfRule type="endsWith" dxfId="5576" priority="7401" operator="endsWith" text="x">
      <formula>RIGHT(F675,LEN("x"))="x"</formula>
    </cfRule>
  </conditionalFormatting>
  <conditionalFormatting sqref="E591">
    <cfRule type="endsWith" dxfId="5575" priority="7533" operator="endsWith" text="x">
      <formula>RIGHT(E591,LEN("x"))="x"</formula>
    </cfRule>
  </conditionalFormatting>
  <conditionalFormatting sqref="A604:D604 A605:G607 F604:G604">
    <cfRule type="endsWith" dxfId="5574" priority="7525" operator="endsWith" text="x">
      <formula>RIGHT(A604,LEN("x"))="x"</formula>
    </cfRule>
  </conditionalFormatting>
  <conditionalFormatting sqref="E604">
    <cfRule type="endsWith" dxfId="5573" priority="7524" operator="endsWith" text="x">
      <formula>RIGHT(E604,LEN("x"))="x"</formula>
    </cfRule>
  </conditionalFormatting>
  <conditionalFormatting sqref="A678:A679 C678:F678 C679:G679">
    <cfRule type="endsWith" dxfId="5572" priority="7418" operator="endsWith" text="x">
      <formula>RIGHT(A678,LEN("x"))="x"</formula>
    </cfRule>
  </conditionalFormatting>
  <conditionalFormatting sqref="G593">
    <cfRule type="endsWith" dxfId="5571" priority="7522" operator="endsWith" text="x">
      <formula>RIGHT(G593,LEN("x"))="x"</formula>
    </cfRule>
  </conditionalFormatting>
  <conditionalFormatting sqref="G587">
    <cfRule type="endsWith" dxfId="5570" priority="7521" operator="endsWith" text="x">
      <formula>RIGHT(G587,LEN("x"))="x"</formula>
    </cfRule>
  </conditionalFormatting>
  <conditionalFormatting sqref="G581">
    <cfRule type="endsWith" dxfId="5569" priority="7520" operator="endsWith" text="x">
      <formula>RIGHT(G581,LEN("x"))="x"</formula>
    </cfRule>
  </conditionalFormatting>
  <conditionalFormatting sqref="G575">
    <cfRule type="endsWith" dxfId="5568" priority="7519" operator="endsWith" text="x">
      <formula>RIGHT(G575,LEN("x"))="x"</formula>
    </cfRule>
  </conditionalFormatting>
  <conditionalFormatting sqref="G569">
    <cfRule type="endsWith" dxfId="5567" priority="7518" operator="endsWith" text="x">
      <formula>RIGHT(G569,LEN("x"))="x"</formula>
    </cfRule>
  </conditionalFormatting>
  <conditionalFormatting sqref="A610:D610 A611:G613 F610:G610">
    <cfRule type="endsWith" dxfId="5566" priority="7517" operator="endsWith" text="x">
      <formula>RIGHT(A610,LEN("x"))="x"</formula>
    </cfRule>
  </conditionalFormatting>
  <conditionalFormatting sqref="E610">
    <cfRule type="endsWith" dxfId="5565" priority="7516" operator="endsWith" text="x">
      <formula>RIGHT(E610,LEN("x"))="x"</formula>
    </cfRule>
  </conditionalFormatting>
  <conditionalFormatting sqref="A616:D616 A617:G619 F616:G616">
    <cfRule type="endsWith" dxfId="5564" priority="7514" operator="endsWith" text="x">
      <formula>RIGHT(A616,LEN("x"))="x"</formula>
    </cfRule>
  </conditionalFormatting>
  <conditionalFormatting sqref="E616">
    <cfRule type="endsWith" dxfId="5563" priority="7513" operator="endsWith" text="x">
      <formula>RIGHT(E616,LEN("x"))="x"</formula>
    </cfRule>
  </conditionalFormatting>
  <conditionalFormatting sqref="G668">
    <cfRule type="endsWith" dxfId="5562" priority="7437" operator="endsWith" text="x">
      <formula>RIGHT(G668,LEN("x"))="x"</formula>
    </cfRule>
  </conditionalFormatting>
  <conditionalFormatting sqref="A622:D622 A623:G625 F622:G622">
    <cfRule type="endsWith" dxfId="5561" priority="7511" operator="endsWith" text="x">
      <formula>RIGHT(A622,LEN("x"))="x"</formula>
    </cfRule>
  </conditionalFormatting>
  <conditionalFormatting sqref="E622">
    <cfRule type="endsWith" dxfId="5560" priority="7510" operator="endsWith" text="x">
      <formula>RIGHT(E622,LEN("x"))="x"</formula>
    </cfRule>
  </conditionalFormatting>
  <conditionalFormatting sqref="A628:D628 A629:G631 F628:G628">
    <cfRule type="endsWith" dxfId="5559" priority="7508" operator="endsWith" text="x">
      <formula>RIGHT(A628,LEN("x"))="x"</formula>
    </cfRule>
  </conditionalFormatting>
  <conditionalFormatting sqref="E628">
    <cfRule type="endsWith" dxfId="5558" priority="7507" operator="endsWith" text="x">
      <formula>RIGHT(E628,LEN("x"))="x"</formula>
    </cfRule>
  </conditionalFormatting>
  <conditionalFormatting sqref="F635">
    <cfRule type="endsWith" dxfId="5557" priority="7505" operator="endsWith" text="x">
      <formula>RIGHT(F635,LEN("x"))="x"</formula>
    </cfRule>
  </conditionalFormatting>
  <conditionalFormatting sqref="E658">
    <cfRule type="endsWith" dxfId="5556" priority="7474" operator="endsWith" text="x">
      <formula>RIGHT(E658,LEN("x"))="x"</formula>
    </cfRule>
  </conditionalFormatting>
  <conditionalFormatting sqref="F659">
    <cfRule type="endsWith" dxfId="5555" priority="7473" operator="endsWith" text="x">
      <formula>RIGHT(F659,LEN("x"))="x"</formula>
    </cfRule>
  </conditionalFormatting>
  <conditionalFormatting sqref="A658:D658 C659:E659 F658:G658 G659 A659:A661 C660:F660 C661:G661">
    <cfRule type="endsWith" dxfId="5554" priority="7485" operator="endsWith" text="x">
      <formula>RIGHT(A658,LEN("x"))="x"</formula>
    </cfRule>
  </conditionalFormatting>
  <conditionalFormatting sqref="A640:D640 F640:G640">
    <cfRule type="endsWith" dxfId="5553" priority="7502" operator="endsWith" text="x">
      <formula>RIGHT(A640,LEN("x"))="x"</formula>
    </cfRule>
  </conditionalFormatting>
  <conditionalFormatting sqref="E640">
    <cfRule type="endsWith" dxfId="5552" priority="7501" operator="endsWith" text="x">
      <formula>RIGHT(E640,LEN("x"))="x"</formula>
    </cfRule>
  </conditionalFormatting>
  <conditionalFormatting sqref="A642:G644 A645 C645:G645">
    <cfRule type="endsWith" dxfId="5551" priority="7499" operator="endsWith" text="x">
      <formula>RIGHT(A642,LEN("x"))="x"</formula>
    </cfRule>
  </conditionalFormatting>
  <conditionalFormatting sqref="B642">
    <cfRule type="endsWith" dxfId="5550" priority="7498" operator="endsWith" text="x">
      <formula>RIGHT(B642,LEN("x"))="x"</formula>
    </cfRule>
  </conditionalFormatting>
  <conditionalFormatting sqref="B643">
    <cfRule type="endsWith" dxfId="5549" priority="7497" operator="endsWith" text="x">
      <formula>RIGHT(B643,LEN("x"))="x"</formula>
    </cfRule>
  </conditionalFormatting>
  <conditionalFormatting sqref="C641">
    <cfRule type="endsWith" dxfId="5548" priority="7496" operator="endsWith" text="x">
      <formula>RIGHT(C641,LEN("x"))="x"</formula>
    </cfRule>
  </conditionalFormatting>
  <conditionalFormatting sqref="E641">
    <cfRule type="endsWith" dxfId="5547" priority="7495" operator="endsWith" text="x">
      <formula>RIGHT(E641,LEN("x"))="x"</formula>
    </cfRule>
  </conditionalFormatting>
  <conditionalFormatting sqref="F641">
    <cfRule type="endsWith" dxfId="5546" priority="7494" operator="endsWith" text="x">
      <formula>RIGHT(F641,LEN("x"))="x"</formula>
    </cfRule>
  </conditionalFormatting>
  <conditionalFormatting sqref="G642">
    <cfRule type="endsWith" dxfId="5545" priority="7493" operator="endsWith" text="x">
      <formula>RIGHT(G642,LEN("x"))="x"</formula>
    </cfRule>
  </conditionalFormatting>
  <conditionalFormatting sqref="A644">
    <cfRule type="endsWith" dxfId="5544" priority="7492" operator="endsWith" text="x">
      <formula>RIGHT(A644,LEN("x"))="x"</formula>
    </cfRule>
  </conditionalFormatting>
  <conditionalFormatting sqref="B644 D644 G644">
    <cfRule type="endsWith" dxfId="5543" priority="7491" operator="endsWith" text="x">
      <formula>RIGHT(B644,LEN("x"))="x"</formula>
    </cfRule>
  </conditionalFormatting>
  <conditionalFormatting sqref="C644">
    <cfRule type="endsWith" dxfId="5542" priority="7490" operator="endsWith" text="x">
      <formula>RIGHT(C644,LEN("x"))="x"</formula>
    </cfRule>
  </conditionalFormatting>
  <conditionalFormatting sqref="E644">
    <cfRule type="endsWith" dxfId="5541" priority="7489" operator="endsWith" text="x">
      <formula>RIGHT(E644,LEN("x"))="x"</formula>
    </cfRule>
  </conditionalFormatting>
  <conditionalFormatting sqref="F644">
    <cfRule type="endsWith" dxfId="5540" priority="7488" operator="endsWith" text="x">
      <formula>RIGHT(F644,LEN("x"))="x"</formula>
    </cfRule>
  </conditionalFormatting>
  <conditionalFormatting sqref="A658:G658 G659 A659:A663 C662:F662 C663:G663 C660:F660 C659:E659 C661:G661">
    <cfRule type="endsWith" dxfId="5539" priority="7487" operator="endsWith" text="x">
      <formula>RIGHT(A658,LEN("x"))="x"</formula>
    </cfRule>
  </conditionalFormatting>
  <conditionalFormatting sqref="A662:A663 C662:F662 C663:G663">
    <cfRule type="endsWith" dxfId="5538" priority="7486" operator="endsWith" text="x">
      <formula>RIGHT(A662,LEN("x"))="x"</formula>
    </cfRule>
  </conditionalFormatting>
  <conditionalFormatting sqref="E205">
    <cfRule type="endsWith" dxfId="5537" priority="6798" operator="endsWith" text="x">
      <formula>RIGHT(E205,LEN("x"))="x"</formula>
    </cfRule>
  </conditionalFormatting>
  <conditionalFormatting sqref="E205">
    <cfRule type="endsWith" dxfId="5536" priority="6797" operator="endsWith" text="x">
      <formula>RIGHT(E205,LEN("x"))="x"</formula>
    </cfRule>
  </conditionalFormatting>
  <conditionalFormatting sqref="G823">
    <cfRule type="endsWith" dxfId="5535" priority="6796" operator="endsWith" text="x">
      <formula>RIGHT(G823,LEN("x"))="x"</formula>
    </cfRule>
  </conditionalFormatting>
  <conditionalFormatting sqref="G823">
    <cfRule type="endsWith" dxfId="5534" priority="6795" operator="endsWith" text="x">
      <formula>RIGHT(G823,LEN("x"))="x"</formula>
    </cfRule>
  </conditionalFormatting>
  <conditionalFormatting sqref="G824">
    <cfRule type="endsWith" dxfId="5533" priority="6794" operator="endsWith" text="x">
      <formula>RIGHT(G824,LEN("x"))="x"</formula>
    </cfRule>
  </conditionalFormatting>
  <conditionalFormatting sqref="G824">
    <cfRule type="endsWith" dxfId="5532" priority="6793" operator="endsWith" text="x">
      <formula>RIGHT(G824,LEN("x"))="x"</formula>
    </cfRule>
  </conditionalFormatting>
  <conditionalFormatting sqref="G234">
    <cfRule type="endsWith" dxfId="5531" priority="6768" operator="endsWith" text="x">
      <formula>RIGHT(G234,LEN("x"))="x"</formula>
    </cfRule>
  </conditionalFormatting>
  <conditionalFormatting sqref="G825">
    <cfRule type="endsWith" dxfId="5530" priority="6791" operator="endsWith" text="x">
      <formula>RIGHT(G825,LEN("x"))="x"</formula>
    </cfRule>
  </conditionalFormatting>
  <conditionalFormatting sqref="G826">
    <cfRule type="endsWith" dxfId="5529" priority="6790" operator="endsWith" text="x">
      <formula>RIGHT(G826,LEN("x"))="x"</formula>
    </cfRule>
  </conditionalFormatting>
  <conditionalFormatting sqref="G826">
    <cfRule type="endsWith" dxfId="5528" priority="6789" operator="endsWith" text="x">
      <formula>RIGHT(G826,LEN("x"))="x"</formula>
    </cfRule>
  </conditionalFormatting>
  <conditionalFormatting sqref="F659">
    <cfRule type="endsWith" dxfId="5527" priority="7472" operator="endsWith" text="x">
      <formula>RIGHT(F659,LEN("x"))="x"</formula>
    </cfRule>
  </conditionalFormatting>
  <conditionalFormatting sqref="G686">
    <cfRule type="endsWith" dxfId="5526" priority="7379" operator="endsWith" text="x">
      <formula>RIGHT(G686,LEN("x"))="x"</formula>
    </cfRule>
  </conditionalFormatting>
  <conditionalFormatting sqref="F683">
    <cfRule type="endsWith" dxfId="5525" priority="7378" operator="endsWith" text="x">
      <formula>RIGHT(F683,LEN("x"))="x"</formula>
    </cfRule>
  </conditionalFormatting>
  <conditionalFormatting sqref="G676">
    <cfRule type="endsWith" dxfId="5524" priority="7405" operator="endsWith" text="x">
      <formula>RIGHT(G676,LEN("x"))="x"</formula>
    </cfRule>
  </conditionalFormatting>
  <conditionalFormatting sqref="G678">
    <cfRule type="endsWith" dxfId="5523" priority="7404" operator="endsWith" text="x">
      <formula>RIGHT(G678,LEN("x"))="x"</formula>
    </cfRule>
  </conditionalFormatting>
  <conditionalFormatting sqref="A674:D674 C675:E675 F674:G674 G675 A675:A677 C676:F676 C677:G677">
    <cfRule type="endsWith" dxfId="5522" priority="7417" operator="endsWith" text="x">
      <formula>RIGHT(A674,LEN("x"))="x"</formula>
    </cfRule>
  </conditionalFormatting>
  <conditionalFormatting sqref="H644">
    <cfRule type="endsWith" dxfId="5521" priority="7396" operator="endsWith" text="x">
      <formula>RIGHT(H644,LEN("x"))="x"</formula>
    </cfRule>
  </conditionalFormatting>
  <conditionalFormatting sqref="G660">
    <cfRule type="endsWith" dxfId="5520" priority="7457" operator="endsWith" text="x">
      <formula>RIGHT(G660,LEN("x"))="x"</formula>
    </cfRule>
  </conditionalFormatting>
  <conditionalFormatting sqref="G660">
    <cfRule type="endsWith" dxfId="5519" priority="7456" operator="endsWith" text="x">
      <formula>RIGHT(G660,LEN("x"))="x"</formula>
    </cfRule>
  </conditionalFormatting>
  <conditionalFormatting sqref="G662">
    <cfRule type="endsWith" dxfId="5518" priority="7455" operator="endsWith" text="x">
      <formula>RIGHT(G662,LEN("x"))="x"</formula>
    </cfRule>
  </conditionalFormatting>
  <conditionalFormatting sqref="G662">
    <cfRule type="endsWith" dxfId="5517" priority="7454" operator="endsWith" text="x">
      <formula>RIGHT(G662,LEN("x"))="x"</formula>
    </cfRule>
  </conditionalFormatting>
  <conditionalFormatting sqref="A666:G666 G667 A667:A671 C670:F670 C671:G671 C668:F668 C667:E667 C669:G669">
    <cfRule type="endsWith" dxfId="5516" priority="7453" operator="endsWith" text="x">
      <formula>RIGHT(A666,LEN("x"))="x"</formula>
    </cfRule>
  </conditionalFormatting>
  <conditionalFormatting sqref="A670:A671 C670:F670 C671:G671">
    <cfRule type="endsWith" dxfId="5515" priority="7452" operator="endsWith" text="x">
      <formula>RIGHT(A670,LEN("x"))="x"</formula>
    </cfRule>
  </conditionalFormatting>
  <conditionalFormatting sqref="A666:D666 C667:E667 F666:G666 G667 A667:A669 C668:F668 C669:G669">
    <cfRule type="endsWith" dxfId="5514" priority="7451" operator="endsWith" text="x">
      <formula>RIGHT(A666,LEN("x"))="x"</formula>
    </cfRule>
  </conditionalFormatting>
  <conditionalFormatting sqref="F231">
    <cfRule type="endsWith" dxfId="5513" priority="6772" operator="endsWith" text="x">
      <formula>RIGHT(F231,LEN("x"))="x"</formula>
    </cfRule>
  </conditionalFormatting>
  <conditionalFormatting sqref="F231">
    <cfRule type="endsWith" dxfId="5512" priority="6771" operator="endsWith" text="x">
      <formula>RIGHT(F231,LEN("x"))="x"</formula>
    </cfRule>
  </conditionalFormatting>
  <conditionalFormatting sqref="G232">
    <cfRule type="endsWith" dxfId="5511" priority="6770" operator="endsWith" text="x">
      <formula>RIGHT(G232,LEN("x"))="x"</formula>
    </cfRule>
  </conditionalFormatting>
  <conditionalFormatting sqref="G232">
    <cfRule type="endsWith" dxfId="5510" priority="6769" operator="endsWith" text="x">
      <formula>RIGHT(G232,LEN("x"))="x"</formula>
    </cfRule>
  </conditionalFormatting>
  <conditionalFormatting sqref="G234">
    <cfRule type="endsWith" dxfId="5509" priority="6767" operator="endsWith" text="x">
      <formula>RIGHT(G234,LEN("x"))="x"</formula>
    </cfRule>
  </conditionalFormatting>
  <conditionalFormatting sqref="F667">
    <cfRule type="endsWith" dxfId="5508" priority="7432" operator="endsWith" text="x">
      <formula>RIGHT(F667,LEN("x"))="x"</formula>
    </cfRule>
  </conditionalFormatting>
  <conditionalFormatting sqref="E666">
    <cfRule type="endsWith" dxfId="5507" priority="7440" operator="endsWith" text="x">
      <formula>RIGHT(E666,LEN("x"))="x"</formula>
    </cfRule>
  </conditionalFormatting>
  <conditionalFormatting sqref="F675">
    <cfRule type="endsWith" dxfId="5506" priority="7402" operator="endsWith" text="x">
      <formula>RIGHT(F675,LEN("x"))="x"</formula>
    </cfRule>
  </conditionalFormatting>
  <conditionalFormatting sqref="G668">
    <cfRule type="endsWith" dxfId="5505" priority="7436" operator="endsWith" text="x">
      <formula>RIGHT(G668,LEN("x"))="x"</formula>
    </cfRule>
  </conditionalFormatting>
  <conditionalFormatting sqref="G670">
    <cfRule type="endsWith" dxfId="5504" priority="7435" operator="endsWith" text="x">
      <formula>RIGHT(G670,LEN("x"))="x"</formula>
    </cfRule>
  </conditionalFormatting>
  <conditionalFormatting sqref="G670">
    <cfRule type="endsWith" dxfId="5503" priority="7434" operator="endsWith" text="x">
      <formula>RIGHT(G670,LEN("x"))="x"</formula>
    </cfRule>
  </conditionalFormatting>
  <conditionalFormatting sqref="F667">
    <cfRule type="endsWith" dxfId="5502" priority="7433" operator="endsWith" text="x">
      <formula>RIGHT(F667,LEN("x"))="x"</formula>
    </cfRule>
  </conditionalFormatting>
  <conditionalFormatting sqref="E226">
    <cfRule type="endsWith" dxfId="5501" priority="6739" operator="endsWith" text="x">
      <formula>RIGHT(E226,LEN("x"))="x"</formula>
    </cfRule>
  </conditionalFormatting>
  <conditionalFormatting sqref="G686">
    <cfRule type="endsWith" dxfId="5500" priority="7380" operator="endsWith" text="x">
      <formula>RIGHT(G686,LEN("x"))="x"</formula>
    </cfRule>
  </conditionalFormatting>
  <conditionalFormatting sqref="I687">
    <cfRule type="endsWith" dxfId="5499" priority="7384" operator="endsWith" text="x">
      <formula>RIGHT(I687,LEN("x"))="x"</formula>
    </cfRule>
  </conditionalFormatting>
  <conditionalFormatting sqref="E682">
    <cfRule type="endsWith" dxfId="5498" priority="7383" operator="endsWith" text="x">
      <formula>RIGHT(E682,LEN("x"))="x"</formula>
    </cfRule>
  </conditionalFormatting>
  <conditionalFormatting sqref="G683">
    <cfRule type="endsWith" dxfId="5497" priority="7367" operator="endsWith" text="x">
      <formula>RIGHT(G683,LEN("x"))="x"</formula>
    </cfRule>
  </conditionalFormatting>
  <conditionalFormatting sqref="A674:G674 G675 A675:A679 C678:F678 C679:G679 C676:F676 C675:E675 C677:G677">
    <cfRule type="endsWith" dxfId="5496" priority="7419" operator="endsWith" text="x">
      <formula>RIGHT(A674,LEN("x"))="x"</formula>
    </cfRule>
  </conditionalFormatting>
  <conditionalFormatting sqref="C225">
    <cfRule type="endsWith" dxfId="5495" priority="6746" operator="endsWith" text="x">
      <formula>RIGHT(C225,LEN("x"))="x"</formula>
    </cfRule>
  </conditionalFormatting>
  <conditionalFormatting sqref="C226">
    <cfRule type="endsWith" dxfId="5494" priority="6745" operator="endsWith" text="x">
      <formula>RIGHT(C226,LEN("x"))="x"</formula>
    </cfRule>
  </conditionalFormatting>
  <conditionalFormatting sqref="C227">
    <cfRule type="endsWith" dxfId="5493" priority="6744" operator="endsWith" text="x">
      <formula>RIGHT(C227,LEN("x"))="x"</formula>
    </cfRule>
  </conditionalFormatting>
  <conditionalFormatting sqref="C228">
    <cfRule type="endsWith" dxfId="5492" priority="6743" operator="endsWith" text="x">
      <formula>RIGHT(C228,LEN("x"))="x"</formula>
    </cfRule>
  </conditionalFormatting>
  <conditionalFormatting sqref="C229">
    <cfRule type="endsWith" dxfId="5491" priority="6742" operator="endsWith" text="x">
      <formula>RIGHT(C229,LEN("x"))="x"</formula>
    </cfRule>
  </conditionalFormatting>
  <conditionalFormatting sqref="C231">
    <cfRule type="endsWith" dxfId="5490" priority="6741" operator="endsWith" text="x">
      <formula>RIGHT(C231,LEN("x"))="x"</formula>
    </cfRule>
  </conditionalFormatting>
  <conditionalFormatting sqref="E225">
    <cfRule type="endsWith" dxfId="5489" priority="6740" operator="endsWith" text="x">
      <formula>RIGHT(E225,LEN("x"))="x"</formula>
    </cfRule>
  </conditionalFormatting>
  <conditionalFormatting sqref="E229">
    <cfRule type="endsWith" dxfId="5488" priority="6738" operator="endsWith" text="x">
      <formula>RIGHT(E229,LEN("x"))="x"</formula>
    </cfRule>
  </conditionalFormatting>
  <conditionalFormatting sqref="E674">
    <cfRule type="endsWith" dxfId="5487" priority="7407" operator="endsWith" text="x">
      <formula>RIGHT(E674,LEN("x"))="x"</formula>
    </cfRule>
  </conditionalFormatting>
  <conditionalFormatting sqref="G676">
    <cfRule type="endsWith" dxfId="5486" priority="7406" operator="endsWith" text="x">
      <formula>RIGHT(G676,LEN("x"))="x"</formula>
    </cfRule>
  </conditionalFormatting>
  <conditionalFormatting sqref="G678">
    <cfRule type="endsWith" dxfId="5485" priority="7403" operator="endsWith" text="x">
      <formula>RIGHT(G678,LEN("x"))="x"</formula>
    </cfRule>
  </conditionalFormatting>
  <conditionalFormatting sqref="A682:G682 A683:A687 C686:F686 C687:G687 C684:F684 C683:E683 I686:K687 I682:K682">
    <cfRule type="endsWith" dxfId="5484" priority="7395" operator="endsWith" text="x">
      <formula>RIGHT(A682,LEN("x"))="x"</formula>
    </cfRule>
  </conditionalFormatting>
  <conditionalFormatting sqref="F683">
    <cfRule type="endsWith" dxfId="5483" priority="7377" operator="endsWith" text="x">
      <formula>RIGHT(F683,LEN("x"))="x"</formula>
    </cfRule>
  </conditionalFormatting>
  <conditionalFormatting sqref="I682:K682">
    <cfRule type="endsWith" dxfId="5482" priority="7388" operator="endsWith" text="x">
      <formula>RIGHT(I682,LEN("x"))="x"</formula>
    </cfRule>
  </conditionalFormatting>
  <conditionalFormatting sqref="K683">
    <cfRule type="endsWith" dxfId="5481" priority="7387" operator="endsWith" text="x">
      <formula>RIGHT(K683,LEN("x"))="x"</formula>
    </cfRule>
  </conditionalFormatting>
  <conditionalFormatting sqref="A744:G744 A750:K754 A745 C745:G745 A746:G749">
    <cfRule type="endsWith" dxfId="5480" priority="7363" operator="endsWith" text="x">
      <formula>RIGHT(A744,LEN("x"))="x"</formula>
    </cfRule>
  </conditionalFormatting>
  <conditionalFormatting sqref="E228">
    <cfRule type="endsWith" dxfId="5479" priority="6737" operator="endsWith" text="x">
      <formula>RIGHT(E228,LEN("x"))="x"</formula>
    </cfRule>
  </conditionalFormatting>
  <conditionalFormatting sqref="B784">
    <cfRule type="endsWith" dxfId="5478" priority="7298" operator="endsWith" text="x">
      <formula>RIGHT(B784,LEN("x"))="x"</formula>
    </cfRule>
  </conditionalFormatting>
  <conditionalFormatting sqref="E744">
    <cfRule type="endsWith" dxfId="5477" priority="7355" operator="endsWith" text="x">
      <formula>RIGHT(E744,LEN("x"))="x"</formula>
    </cfRule>
  </conditionalFormatting>
  <conditionalFormatting sqref="D784">
    <cfRule type="endsWith" dxfId="5476" priority="7296" operator="endsWith" text="x">
      <formula>RIGHT(D784,LEN("x"))="x"</formula>
    </cfRule>
  </conditionalFormatting>
  <conditionalFormatting sqref="C784">
    <cfRule type="endsWith" dxfId="5475" priority="7295" operator="endsWith" text="x">
      <formula>RIGHT(C784,LEN("x"))="x"</formula>
    </cfRule>
  </conditionalFormatting>
  <conditionalFormatting sqref="B745">
    <cfRule type="endsWith" dxfId="5474" priority="7348" operator="endsWith" text="x">
      <formula>RIGHT(B745,LEN("x"))="x"</formula>
    </cfRule>
  </conditionalFormatting>
  <conditionalFormatting sqref="B745">
    <cfRule type="endsWith" dxfId="5473" priority="7347" operator="endsWith" text="x">
      <formula>RIGHT(B745,LEN("x"))="x"</formula>
    </cfRule>
  </conditionalFormatting>
  <conditionalFormatting sqref="A692:G692 A693 C693 E693:G693 A698:K702 A694:G697 K697 I692:K692 I696:K696">
    <cfRule type="endsWith" dxfId="5472" priority="7346" operator="endsWith" text="x">
      <formula>RIGHT(A692,LEN("x"))="x"</formula>
    </cfRule>
  </conditionalFormatting>
  <conditionalFormatting sqref="F242">
    <cfRule type="endsWith" dxfId="5471" priority="6693" operator="endsWith" text="x">
      <formula>RIGHT(F242,LEN("x"))="x"</formula>
    </cfRule>
  </conditionalFormatting>
  <conditionalFormatting sqref="I692:K692">
    <cfRule type="endsWith" dxfId="5470" priority="7341" operator="endsWith" text="x">
      <formula>RIGHT(I692,LEN("x"))="x"</formula>
    </cfRule>
  </conditionalFormatting>
  <conditionalFormatting sqref="E692">
    <cfRule type="endsWith" dxfId="5469" priority="7339" operator="endsWith" text="x">
      <formula>RIGHT(E692,LEN("x"))="x"</formula>
    </cfRule>
  </conditionalFormatting>
  <conditionalFormatting sqref="F245">
    <cfRule type="endsWith" dxfId="5468" priority="6686" operator="endsWith" text="x">
      <formula>RIGHT(F245,LEN("x"))="x"</formula>
    </cfRule>
  </conditionalFormatting>
  <conditionalFormatting sqref="F245">
    <cfRule type="endsWith" dxfId="5467" priority="6685" operator="endsWith" text="x">
      <formula>RIGHT(F245,LEN("x"))="x"</formula>
    </cfRule>
  </conditionalFormatting>
  <conditionalFormatting sqref="B693">
    <cfRule type="endsWith" dxfId="5466" priority="7336" operator="endsWith" text="x">
      <formula>RIGHT(B693,LEN("x"))="x"</formula>
    </cfRule>
  </conditionalFormatting>
  <conditionalFormatting sqref="B693">
    <cfRule type="endsWith" dxfId="5465" priority="7335" operator="endsWith" text="x">
      <formula>RIGHT(B693,LEN("x"))="x"</formula>
    </cfRule>
  </conditionalFormatting>
  <conditionalFormatting sqref="D693">
    <cfRule type="endsWith" dxfId="5464" priority="7334" operator="endsWith" text="x">
      <formula>RIGHT(D693,LEN("x"))="x"</formula>
    </cfRule>
  </conditionalFormatting>
  <conditionalFormatting sqref="A770:G770 A776:K780 A771 E771:G771 A772:G775">
    <cfRule type="endsWith" dxfId="5463" priority="7333" operator="endsWith" text="x">
      <formula>RIGHT(A770,LEN("x"))="x"</formula>
    </cfRule>
  </conditionalFormatting>
  <conditionalFormatting sqref="E770">
    <cfRule type="endsWith" dxfId="5462" priority="7326" operator="endsWith" text="x">
      <formula>RIGHT(E770,LEN("x"))="x"</formula>
    </cfRule>
  </conditionalFormatting>
  <conditionalFormatting sqref="B771">
    <cfRule type="endsWith" dxfId="5461" priority="7323" operator="endsWith" text="x">
      <formula>RIGHT(B771,LEN("x"))="x"</formula>
    </cfRule>
  </conditionalFormatting>
  <conditionalFormatting sqref="B771">
    <cfRule type="endsWith" dxfId="5460" priority="7322" operator="endsWith" text="x">
      <formula>RIGHT(B771,LEN("x"))="x"</formula>
    </cfRule>
  </conditionalFormatting>
  <conditionalFormatting sqref="D771">
    <cfRule type="endsWith" dxfId="5459" priority="7321" operator="endsWith" text="x">
      <formula>RIGHT(D771,LEN("x"))="x"</formula>
    </cfRule>
  </conditionalFormatting>
  <conditionalFormatting sqref="C771">
    <cfRule type="endsWith" dxfId="5458" priority="7320" operator="endsWith" text="x">
      <formula>RIGHT(C771,LEN("x"))="x"</formula>
    </cfRule>
  </conditionalFormatting>
  <conditionalFormatting sqref="E783">
    <cfRule type="endsWith" dxfId="5457" priority="7301" operator="endsWith" text="x">
      <formula>RIGHT(E783,LEN("x"))="x"</formula>
    </cfRule>
  </conditionalFormatting>
  <conditionalFormatting sqref="B784">
    <cfRule type="endsWith" dxfId="5456" priority="7297" operator="endsWith" text="x">
      <formula>RIGHT(B784,LEN("x"))="x"</formula>
    </cfRule>
  </conditionalFormatting>
  <conditionalFormatting sqref="A783:G783 A789:K793 A784 E784:G784 A785:G788">
    <cfRule type="endsWith" dxfId="5455" priority="7308" operator="endsWith" text="x">
      <formula>RIGHT(A783,LEN("x"))="x"</formula>
    </cfRule>
  </conditionalFormatting>
  <conditionalFormatting sqref="A763:K767 A757:G762">
    <cfRule type="endsWith" dxfId="5454" priority="7294" operator="endsWith" text="x">
      <formula>RIGHT(A757,LEN("x"))="x"</formula>
    </cfRule>
  </conditionalFormatting>
  <conditionalFormatting sqref="A763:K767 A761:G762">
    <cfRule type="endsWith" dxfId="5453" priority="7293" operator="endsWith" text="x">
      <formula>RIGHT(A761,LEN("x"))="x"</formula>
    </cfRule>
  </conditionalFormatting>
  <conditionalFormatting sqref="A757:D757 A759:G760 A758 C758:G758 F757:G757">
    <cfRule type="endsWith" dxfId="5452" priority="7292" operator="endsWith" text="x">
      <formula>RIGHT(A757,LEN("x"))="x"</formula>
    </cfRule>
  </conditionalFormatting>
  <conditionalFormatting sqref="B758">
    <cfRule type="endsWith" dxfId="5451" priority="7285" operator="endsWith" text="x">
      <formula>RIGHT(B758,LEN("x"))="x"</formula>
    </cfRule>
  </conditionalFormatting>
  <conditionalFormatting sqref="E757">
    <cfRule type="endsWith" dxfId="5450" priority="7281" operator="endsWith" text="x">
      <formula>RIGHT(E757,LEN("x"))="x"</formula>
    </cfRule>
  </conditionalFormatting>
  <conditionalFormatting sqref="G808:J808 A742:K742 B716:K716 A794:K795 A703:K704 A755:K755 A711:K715 A705:G710">
    <cfRule type="endsWith" dxfId="5449" priority="7258" operator="endsWith" text="x">
      <formula>RIGHT(A703,LEN("x"))="x"</formula>
    </cfRule>
  </conditionalFormatting>
  <conditionalFormatting sqref="H704:K704">
    <cfRule type="endsWith" dxfId="5448" priority="7235" operator="endsWith" text="x">
      <formula>RIGHT(H704,LEN("x"))="x"</formula>
    </cfRule>
  </conditionalFormatting>
  <conditionalFormatting sqref="A795:D795 F795:G795">
    <cfRule type="endsWith" dxfId="5447" priority="7232" operator="endsWith" text="x">
      <formula>RIGHT(A795,LEN("x"))="x"</formula>
    </cfRule>
  </conditionalFormatting>
  <conditionalFormatting sqref="H795:K795">
    <cfRule type="endsWith" dxfId="5446" priority="7227" operator="endsWith" text="x">
      <formula>RIGHT(H795,LEN("x"))="x"</formula>
    </cfRule>
  </conditionalFormatting>
  <conditionalFormatting sqref="E795">
    <cfRule type="endsWith" dxfId="5445" priority="7220" operator="endsWith" text="x">
      <formula>RIGHT(E795,LEN("x"))="x"</formula>
    </cfRule>
  </conditionalFormatting>
  <conditionalFormatting sqref="E704">
    <cfRule type="endsWith" dxfId="5444" priority="7219" operator="endsWith" text="x">
      <formula>RIGHT(E704,LEN("x"))="x"</formula>
    </cfRule>
  </conditionalFormatting>
  <conditionalFormatting sqref="E485">
    <cfRule type="endsWith" dxfId="5443" priority="7217" operator="endsWith" text="x">
      <formula>RIGHT(E485,LEN("x"))="x"</formula>
    </cfRule>
  </conditionalFormatting>
  <conditionalFormatting sqref="A600:D601 F600:J601">
    <cfRule type="endsWith" dxfId="5442" priority="7146" operator="endsWith" text="x">
      <formula>RIGHT(A600,LEN("x"))="x"</formula>
    </cfRule>
  </conditionalFormatting>
  <conditionalFormatting sqref="B601">
    <cfRule type="endsWith" dxfId="5441" priority="7145" operator="endsWith" text="x">
      <formula>RIGHT(B601,LEN("x"))="x"</formula>
    </cfRule>
  </conditionalFormatting>
  <conditionalFormatting sqref="K600">
    <cfRule type="endsWith" dxfId="5440" priority="7143" operator="endsWith" text="x">
      <formula>RIGHT(K600,LEN("x"))="x"</formula>
    </cfRule>
  </conditionalFormatting>
  <conditionalFormatting sqref="K601">
    <cfRule type="endsWith" dxfId="5439" priority="7142" operator="endsWith" text="x">
      <formula>RIGHT(K601,LEN("x"))="x"</formula>
    </cfRule>
  </conditionalFormatting>
  <conditionalFormatting sqref="E600">
    <cfRule type="endsWith" dxfId="5438" priority="7141" operator="endsWith" text="x">
      <formula>RIGHT(E600,LEN("x"))="x"</formula>
    </cfRule>
  </conditionalFormatting>
  <conditionalFormatting sqref="E601">
    <cfRule type="endsWith" dxfId="5437" priority="7140" operator="endsWith" text="x">
      <formula>RIGHT(E601,LEN("x"))="x"</formula>
    </cfRule>
  </conditionalFormatting>
  <conditionalFormatting sqref="H646:K647">
    <cfRule type="endsWith" dxfId="5436" priority="7112" operator="endsWith" text="x">
      <formula>RIGHT(H646,LEN("x"))="x"</formula>
    </cfRule>
  </conditionalFormatting>
  <conditionalFormatting sqref="B688:B691">
    <cfRule type="endsWith" dxfId="5435" priority="7019" operator="endsWith" text="x">
      <formula>RIGHT(B688,LEN("x"))="x"</formula>
    </cfRule>
  </conditionalFormatting>
  <conditionalFormatting sqref="B690:B691">
    <cfRule type="endsWith" dxfId="5434" priority="7018" operator="endsWith" text="x">
      <formula>RIGHT(B690,LEN("x"))="x"</formula>
    </cfRule>
  </conditionalFormatting>
  <conditionalFormatting sqref="B688:B689">
    <cfRule type="endsWith" dxfId="5433" priority="7017" operator="endsWith" text="x">
      <formula>RIGHT(B688,LEN("x"))="x"</formula>
    </cfRule>
  </conditionalFormatting>
  <conditionalFormatting sqref="H688:K688 A688:A691 H690:K691 C690:F691 C688:F688 C689:K689">
    <cfRule type="endsWith" dxfId="5432" priority="7038" operator="endsWith" text="x">
      <formula>RIGHT(A688,LEN("x"))="x"</formula>
    </cfRule>
  </conditionalFormatting>
  <conditionalFormatting sqref="K690:K691 A690:A691 H690:I691 C690:F691">
    <cfRule type="endsWith" dxfId="5431" priority="7037" operator="endsWith" text="x">
      <formula>RIGHT(A690,LEN("x"))="x"</formula>
    </cfRule>
  </conditionalFormatting>
  <conditionalFormatting sqref="A688:A689 C688:F688 C689:G689">
    <cfRule type="endsWith" dxfId="5430" priority="7036" operator="endsWith" text="x">
      <formula>RIGHT(A688,LEN("x"))="x"</formula>
    </cfRule>
  </conditionalFormatting>
  <conditionalFormatting sqref="H690:H691">
    <cfRule type="endsWith" dxfId="5429" priority="7035" operator="endsWith" text="x">
      <formula>RIGHT(H690,LEN("x"))="x"</formula>
    </cfRule>
  </conditionalFormatting>
  <conditionalFormatting sqref="H688:K689">
    <cfRule type="endsWith" dxfId="5428" priority="7032" operator="endsWith" text="x">
      <formula>RIGHT(H688,LEN("x"))="x"</formula>
    </cfRule>
  </conditionalFormatting>
  <conditionalFormatting sqref="H688:K689">
    <cfRule type="endsWith" dxfId="5427" priority="7031" operator="endsWith" text="x">
      <formula>RIGHT(H688,LEN("x"))="x"</formula>
    </cfRule>
  </conditionalFormatting>
  <conditionalFormatting sqref="I690:I691">
    <cfRule type="endsWith" dxfId="5426" priority="7029" operator="endsWith" text="x">
      <formula>RIGHT(I690,LEN("x"))="x"</formula>
    </cfRule>
  </conditionalFormatting>
  <conditionalFormatting sqref="G688">
    <cfRule type="endsWith" dxfId="5425" priority="7025" operator="endsWith" text="x">
      <formula>RIGHT(G688,LEN("x"))="x"</formula>
    </cfRule>
  </conditionalFormatting>
  <conditionalFormatting sqref="G688">
    <cfRule type="endsWith" dxfId="5424" priority="7024" operator="endsWith" text="x">
      <formula>RIGHT(G688,LEN("x"))="x"</formula>
    </cfRule>
  </conditionalFormatting>
  <conditionalFormatting sqref="G690:G691">
    <cfRule type="endsWith" dxfId="5423" priority="7023" operator="endsWith" text="x">
      <formula>RIGHT(G690,LEN("x"))="x"</formula>
    </cfRule>
  </conditionalFormatting>
  <conditionalFormatting sqref="G690:G691">
    <cfRule type="endsWith" dxfId="5422" priority="7022" operator="endsWith" text="x">
      <formula>RIGHT(G690,LEN("x"))="x"</formula>
    </cfRule>
  </conditionalFormatting>
  <conditionalFormatting sqref="A716">
    <cfRule type="endsWith" dxfId="5421" priority="6988" operator="endsWith" text="x">
      <formula>RIGHT(A716,LEN("x"))="x"</formula>
    </cfRule>
  </conditionalFormatting>
  <conditionalFormatting sqref="H717:K717">
    <cfRule type="endsWith" dxfId="5420" priority="6982" operator="endsWith" text="x">
      <formula>RIGHT(H717,LEN("x"))="x"</formula>
    </cfRule>
  </conditionalFormatting>
  <conditionalFormatting sqref="E717">
    <cfRule type="endsWith" dxfId="5419" priority="6980" operator="endsWith" text="x">
      <formula>RIGHT(E717,LEN("x"))="x"</formula>
    </cfRule>
  </conditionalFormatting>
  <conditionalFormatting sqref="A743:K743">
    <cfRule type="endsWith" dxfId="5418" priority="6975" operator="endsWith" text="x">
      <formula>RIGHT(A743,LEN("x"))="x"</formula>
    </cfRule>
  </conditionalFormatting>
  <conditionalFormatting sqref="H743:K743">
    <cfRule type="endsWith" dxfId="5417" priority="6970" operator="endsWith" text="x">
      <formula>RIGHT(H743,LEN("x"))="x"</formula>
    </cfRule>
  </conditionalFormatting>
  <conditionalFormatting sqref="E743">
    <cfRule type="endsWith" dxfId="5416" priority="6968" operator="endsWith" text="x">
      <formula>RIGHT(E743,LEN("x"))="x"</formula>
    </cfRule>
  </conditionalFormatting>
  <conditionalFormatting sqref="A756:K756">
    <cfRule type="endsWith" dxfId="5415" priority="6962" operator="endsWith" text="x">
      <formula>RIGHT(A756,LEN("x"))="x"</formula>
    </cfRule>
  </conditionalFormatting>
  <conditionalFormatting sqref="H756:K756">
    <cfRule type="endsWith" dxfId="5414" priority="6957" operator="endsWith" text="x">
      <formula>RIGHT(H756,LEN("x"))="x"</formula>
    </cfRule>
  </conditionalFormatting>
  <conditionalFormatting sqref="E756">
    <cfRule type="endsWith" dxfId="5413" priority="6955" operator="endsWith" text="x">
      <formula>RIGHT(E756,LEN("x"))="x"</formula>
    </cfRule>
  </conditionalFormatting>
  <conditionalFormatting sqref="A796:G796 A797:B797 D797:G797 A802:K806 A798:G801 J801:K801 I796:K796 I800:K800">
    <cfRule type="endsWith" dxfId="5412" priority="6892" operator="endsWith" text="x">
      <formula>RIGHT(A796,LEN("x"))="x"</formula>
    </cfRule>
  </conditionalFormatting>
  <conditionalFormatting sqref="A796:D796 A798:G799 A797 D797:G797 F796:G796">
    <cfRule type="endsWith" dxfId="5411" priority="6891" operator="endsWith" text="x">
      <formula>RIGHT(A796,LEN("x"))="x"</formula>
    </cfRule>
  </conditionalFormatting>
  <conditionalFormatting sqref="I796:K796">
    <cfRule type="endsWith" dxfId="5410" priority="6886" operator="endsWith" text="x">
      <formula>RIGHT(I796,LEN("x"))="x"</formula>
    </cfRule>
  </conditionalFormatting>
  <conditionalFormatting sqref="B797">
    <cfRule type="endsWith" dxfId="5409" priority="6884" operator="endsWith" text="x">
      <formula>RIGHT(B797,LEN("x"))="x"</formula>
    </cfRule>
  </conditionalFormatting>
  <conditionalFormatting sqref="I800">
    <cfRule type="endsWith" dxfId="5408" priority="6883" operator="endsWith" text="x">
      <formula>RIGHT(I800,LEN("x"))="x"</formula>
    </cfRule>
  </conditionalFormatting>
  <conditionalFormatting sqref="E796">
    <cfRule type="endsWith" dxfId="5407" priority="6880" operator="endsWith" text="x">
      <formula>RIGHT(E796,LEN("x"))="x"</formula>
    </cfRule>
  </conditionalFormatting>
  <conditionalFormatting sqref="C797">
    <cfRule type="endsWith" dxfId="5406" priority="6879" operator="endsWith" text="x">
      <formula>RIGHT(C797,LEN("x"))="x"</formula>
    </cfRule>
  </conditionalFormatting>
  <conditionalFormatting sqref="C797">
    <cfRule type="endsWith" dxfId="5405" priority="6878" operator="endsWith" text="x">
      <formula>RIGHT(C797,LEN("x"))="x"</formula>
    </cfRule>
  </conditionalFormatting>
  <conditionalFormatting sqref="G245 A245:A249 D245 C246:F246 C248:F248 C249:G249 C247:G247">
    <cfRule type="endsWith" dxfId="5404" priority="6690" operator="endsWith" text="x">
      <formula>RIGHT(A245,LEN("x"))="x"</formula>
    </cfRule>
  </conditionalFormatting>
  <conditionalFormatting sqref="A718:G718 A724:K728 A719:B719 D719 F719:G719 A720:G723">
    <cfRule type="endsWith" dxfId="5403" priority="6876" operator="endsWith" text="x">
      <formula>RIGHT(A718,LEN("x"))="x"</formula>
    </cfRule>
  </conditionalFormatting>
  <conditionalFormatting sqref="A724:K728 A722:G723">
    <cfRule type="endsWith" dxfId="5402" priority="6875" operator="endsWith" text="x">
      <formula>RIGHT(A722,LEN("x"))="x"</formula>
    </cfRule>
  </conditionalFormatting>
  <conditionalFormatting sqref="A718:D718 A720:G721 A719 D719 F718:G719">
    <cfRule type="endsWith" dxfId="5401" priority="6874" operator="endsWith" text="x">
      <formula>RIGHT(A718,LEN("x"))="x"</formula>
    </cfRule>
  </conditionalFormatting>
  <conditionalFormatting sqref="G429">
    <cfRule type="endsWith" dxfId="5400" priority="6237" operator="endsWith" text="x">
      <formula>RIGHT(G429,LEN("x"))="x"</formula>
    </cfRule>
  </conditionalFormatting>
  <conditionalFormatting sqref="A428:A429">
    <cfRule type="endsWith" dxfId="5399" priority="6236" operator="endsWith" text="x">
      <formula>RIGHT(A428,LEN("x"))="x"</formula>
    </cfRule>
  </conditionalFormatting>
  <conditionalFormatting sqref="C427">
    <cfRule type="endsWith" dxfId="5398" priority="6235" operator="endsWith" text="x">
      <formula>RIGHT(C427,LEN("x"))="x"</formula>
    </cfRule>
  </conditionalFormatting>
  <conditionalFormatting sqref="C427">
    <cfRule type="endsWith" dxfId="5397" priority="6234" operator="endsWith" text="x">
      <formula>RIGHT(C427,LEN("x"))="x"</formula>
    </cfRule>
  </conditionalFormatting>
  <conditionalFormatting sqref="C428">
    <cfRule type="endsWith" dxfId="5396" priority="6232" operator="endsWith" text="x">
      <formula>RIGHT(C428,LEN("x"))="x"</formula>
    </cfRule>
  </conditionalFormatting>
  <conditionalFormatting sqref="B719">
    <cfRule type="endsWith" dxfId="5395" priority="6867" operator="endsWith" text="x">
      <formula>RIGHT(B719,LEN("x"))="x"</formula>
    </cfRule>
  </conditionalFormatting>
  <conditionalFormatting sqref="C429">
    <cfRule type="endsWith" dxfId="5394" priority="6230" operator="endsWith" text="x">
      <formula>RIGHT(C429,LEN("x"))="x"</formula>
    </cfRule>
  </conditionalFormatting>
  <conditionalFormatting sqref="E427">
    <cfRule type="endsWith" dxfId="5393" priority="6229" operator="endsWith" text="x">
      <formula>RIGHT(E427,LEN("x"))="x"</formula>
    </cfRule>
  </conditionalFormatting>
  <conditionalFormatting sqref="E427">
    <cfRule type="endsWith" dxfId="5392" priority="6228" operator="endsWith" text="x">
      <formula>RIGHT(E427,LEN("x"))="x"</formula>
    </cfRule>
  </conditionalFormatting>
  <conditionalFormatting sqref="E718">
    <cfRule type="endsWith" dxfId="5391" priority="6863" operator="endsWith" text="x">
      <formula>RIGHT(E718,LEN("x"))="x"</formula>
    </cfRule>
  </conditionalFormatting>
  <conditionalFormatting sqref="G684">
    <cfRule type="endsWith" dxfId="5390" priority="6855" operator="endsWith" text="x">
      <formula>RIGHT(G684,LEN("x"))="x"</formula>
    </cfRule>
  </conditionalFormatting>
  <conditionalFormatting sqref="E428">
    <cfRule type="endsWith" dxfId="5389" priority="6226" operator="endsWith" text="x">
      <formula>RIGHT(E428,LEN("x"))="x"</formula>
    </cfRule>
  </conditionalFormatting>
  <conditionalFormatting sqref="E429">
    <cfRule type="endsWith" dxfId="5388" priority="6225" operator="endsWith" text="x">
      <formula>RIGHT(E429,LEN("x"))="x"</formula>
    </cfRule>
  </conditionalFormatting>
  <conditionalFormatting sqref="C719">
    <cfRule type="endsWith" dxfId="5387" priority="6860" operator="endsWith" text="x">
      <formula>RIGHT(C719,LEN("x"))="x"</formula>
    </cfRule>
  </conditionalFormatting>
  <conditionalFormatting sqref="E719">
    <cfRule type="endsWith" dxfId="5386" priority="6859" operator="endsWith" text="x">
      <formula>RIGHT(E719,LEN("x"))="x"</formula>
    </cfRule>
  </conditionalFormatting>
  <conditionalFormatting sqref="G684">
    <cfRule type="endsWith" dxfId="5385" priority="6856" operator="endsWith" text="x">
      <formula>RIGHT(G684,LEN("x"))="x"</formula>
    </cfRule>
  </conditionalFormatting>
  <conditionalFormatting sqref="E207">
    <cfRule type="endsWith" dxfId="5384" priority="6802" operator="endsWith" text="x">
      <formula>RIGHT(E207,LEN("x"))="x"</formula>
    </cfRule>
  </conditionalFormatting>
  <conditionalFormatting sqref="C204">
    <cfRule type="endsWith" dxfId="5383" priority="6814" operator="endsWith" text="x">
      <formula>RIGHT(C204,LEN("x"))="x"</formula>
    </cfRule>
  </conditionalFormatting>
  <conditionalFormatting sqref="C204">
    <cfRule type="endsWith" dxfId="5382" priority="6813" operator="endsWith" text="x">
      <formula>RIGHT(C204,LEN("x"))="x"</formula>
    </cfRule>
  </conditionalFormatting>
  <conditionalFormatting sqref="C205">
    <cfRule type="endsWith" dxfId="5381" priority="6812" operator="endsWith" text="x">
      <formula>RIGHT(C205,LEN("x"))="x"</formula>
    </cfRule>
  </conditionalFormatting>
  <conditionalFormatting sqref="E203">
    <cfRule type="endsWith" dxfId="5380" priority="6806" operator="endsWith" text="x">
      <formula>RIGHT(E203,LEN("x"))="x"</formula>
    </cfRule>
  </conditionalFormatting>
  <conditionalFormatting sqref="C205">
    <cfRule type="endsWith" dxfId="5379" priority="6811" operator="endsWith" text="x">
      <formula>RIGHT(C205,LEN("x"))="x"</formula>
    </cfRule>
  </conditionalFormatting>
  <conditionalFormatting sqref="C206">
    <cfRule type="endsWith" dxfId="5378" priority="6810" operator="endsWith" text="x">
      <formula>RIGHT(C206,LEN("x"))="x"</formula>
    </cfRule>
  </conditionalFormatting>
  <conditionalFormatting sqref="C206">
    <cfRule type="endsWith" dxfId="5377" priority="6809" operator="endsWith" text="x">
      <formula>RIGHT(C206,LEN("x"))="x"</formula>
    </cfRule>
  </conditionalFormatting>
  <conditionalFormatting sqref="C207">
    <cfRule type="endsWith" dxfId="5376" priority="6808" operator="endsWith" text="x">
      <formula>RIGHT(C207,LEN("x"))="x"</formula>
    </cfRule>
  </conditionalFormatting>
  <conditionalFormatting sqref="C207">
    <cfRule type="endsWith" dxfId="5375" priority="6807" operator="endsWith" text="x">
      <formula>RIGHT(C207,LEN("x"))="x"</formula>
    </cfRule>
  </conditionalFormatting>
  <conditionalFormatting sqref="E203">
    <cfRule type="endsWith" dxfId="5374" priority="6805" operator="endsWith" text="x">
      <formula>RIGHT(E203,LEN("x"))="x"</formula>
    </cfRule>
  </conditionalFormatting>
  <conditionalFormatting sqref="E204">
    <cfRule type="endsWith" dxfId="5373" priority="6804" operator="endsWith" text="x">
      <formula>RIGHT(E204,LEN("x"))="x"</formula>
    </cfRule>
  </conditionalFormatting>
  <conditionalFormatting sqref="E204">
    <cfRule type="endsWith" dxfId="5372" priority="6803" operator="endsWith" text="x">
      <formula>RIGHT(E204,LEN("x"))="x"</formula>
    </cfRule>
  </conditionalFormatting>
  <conditionalFormatting sqref="A211:G211 A209:E209 G209 A210 A213:G213 A212:F212 C210:F210">
    <cfRule type="endsWith" dxfId="5371" priority="6826" operator="endsWith" text="x">
      <formula>RIGHT(A209,LEN("x"))="x"</formula>
    </cfRule>
  </conditionalFormatting>
  <conditionalFormatting sqref="A213:G213 A212:F212">
    <cfRule type="endsWith" dxfId="5370" priority="6825" operator="endsWith" text="x">
      <formula>RIGHT(A212,LEN("x"))="x"</formula>
    </cfRule>
  </conditionalFormatting>
  <conditionalFormatting sqref="A211:G211 C209:E209 G209 A209:A210 C210:F210">
    <cfRule type="endsWith" dxfId="5369" priority="6824" operator="endsWith" text="x">
      <formula>RIGHT(A209,LEN("x"))="x"</formula>
    </cfRule>
  </conditionalFormatting>
  <conditionalFormatting sqref="B209">
    <cfRule type="endsWith" dxfId="5368" priority="6823" operator="endsWith" text="x">
      <formula>RIGHT(B209,LEN("x"))="x"</formula>
    </cfRule>
  </conditionalFormatting>
  <conditionalFormatting sqref="F209">
    <cfRule type="endsWith" dxfId="5367" priority="6822" operator="endsWith" text="x">
      <formula>RIGHT(F209,LEN("x"))="x"</formula>
    </cfRule>
  </conditionalFormatting>
  <conditionalFormatting sqref="F209">
    <cfRule type="endsWith" dxfId="5366" priority="6821" operator="endsWith" text="x">
      <formula>RIGHT(F209,LEN("x"))="x"</formula>
    </cfRule>
  </conditionalFormatting>
  <conditionalFormatting sqref="G210">
    <cfRule type="endsWith" dxfId="5365" priority="6820" operator="endsWith" text="x">
      <formula>RIGHT(G210,LEN("x"))="x"</formula>
    </cfRule>
  </conditionalFormatting>
  <conditionalFormatting sqref="G210">
    <cfRule type="endsWith" dxfId="5364" priority="6819" operator="endsWith" text="x">
      <formula>RIGHT(G210,LEN("x"))="x"</formula>
    </cfRule>
  </conditionalFormatting>
  <conditionalFormatting sqref="G212">
    <cfRule type="endsWith" dxfId="5363" priority="6818" operator="endsWith" text="x">
      <formula>RIGHT(G212,LEN("x"))="x"</formula>
    </cfRule>
  </conditionalFormatting>
  <conditionalFormatting sqref="G212">
    <cfRule type="endsWith" dxfId="5362" priority="6817" operator="endsWith" text="x">
      <formula>RIGHT(G212,LEN("x"))="x"</formula>
    </cfRule>
  </conditionalFormatting>
  <conditionalFormatting sqref="C203">
    <cfRule type="endsWith" dxfId="5361" priority="6816" operator="endsWith" text="x">
      <formula>RIGHT(C203,LEN("x"))="x"</formula>
    </cfRule>
  </conditionalFormatting>
  <conditionalFormatting sqref="C203">
    <cfRule type="endsWith" dxfId="5360" priority="6815" operator="endsWith" text="x">
      <formula>RIGHT(C203,LEN("x"))="x"</formula>
    </cfRule>
  </conditionalFormatting>
  <conditionalFormatting sqref="E207">
    <cfRule type="endsWith" dxfId="5359" priority="6801" operator="endsWith" text="x">
      <formula>RIGHT(E207,LEN("x"))="x"</formula>
    </cfRule>
  </conditionalFormatting>
  <conditionalFormatting sqref="E206">
    <cfRule type="endsWith" dxfId="5358" priority="6800" operator="endsWith" text="x">
      <formula>RIGHT(E206,LEN("x"))="x"</formula>
    </cfRule>
  </conditionalFormatting>
  <conditionalFormatting sqref="G825">
    <cfRule type="endsWith" dxfId="5357" priority="6792" operator="endsWith" text="x">
      <formula>RIGHT(G825,LEN("x"))="x"</formula>
    </cfRule>
  </conditionalFormatting>
  <conditionalFormatting sqref="G827">
    <cfRule type="endsWith" dxfId="5356" priority="6788" operator="endsWith" text="x">
      <formula>RIGHT(G827,LEN("x"))="x"</formula>
    </cfRule>
  </conditionalFormatting>
  <conditionalFormatting sqref="G827">
    <cfRule type="endsWith" dxfId="5355" priority="6787" operator="endsWith" text="x">
      <formula>RIGHT(G827,LEN("x"))="x"</formula>
    </cfRule>
  </conditionalFormatting>
  <conditionalFormatting sqref="H231:K232 A224:G224 A230:K230 A225:B228 D225:D229 F225:G229 A229">
    <cfRule type="endsWith" dxfId="5354" priority="6786" operator="endsWith" text="x">
      <formula>RIGHT(A224,LEN("x"))="x"</formula>
    </cfRule>
  </conditionalFormatting>
  <conditionalFormatting sqref="B226">
    <cfRule type="endsWith" dxfId="5353" priority="6785" operator="endsWith" text="x">
      <formula>RIGHT(B226,LEN("x"))="x"</formula>
    </cfRule>
  </conditionalFormatting>
  <conditionalFormatting sqref="B227">
    <cfRule type="endsWith" dxfId="5352" priority="6784" operator="endsWith" text="x">
      <formula>RIGHT(B227,LEN("x"))="x"</formula>
    </cfRule>
  </conditionalFormatting>
  <conditionalFormatting sqref="F225">
    <cfRule type="endsWith" dxfId="5351" priority="6783" operator="endsWith" text="x">
      <formula>RIGHT(F225,LEN("x"))="x"</formula>
    </cfRule>
  </conditionalFormatting>
  <conditionalFormatting sqref="G226">
    <cfRule type="endsWith" dxfId="5350" priority="6782" operator="endsWith" text="x">
      <formula>RIGHT(G226,LEN("x"))="x"</formula>
    </cfRule>
  </conditionalFormatting>
  <conditionalFormatting sqref="A228">
    <cfRule type="endsWith" dxfId="5349" priority="6781" operator="endsWith" text="x">
      <formula>RIGHT(A228,LEN("x"))="x"</formula>
    </cfRule>
  </conditionalFormatting>
  <conditionalFormatting sqref="B228 D228 G228">
    <cfRule type="endsWith" dxfId="5348" priority="6780" operator="endsWith" text="x">
      <formula>RIGHT(B228,LEN("x"))="x"</formula>
    </cfRule>
  </conditionalFormatting>
  <conditionalFormatting sqref="F228">
    <cfRule type="endsWith" dxfId="5347" priority="6779" operator="endsWith" text="x">
      <formula>RIGHT(F228,LEN("x"))="x"</formula>
    </cfRule>
  </conditionalFormatting>
  <conditionalFormatting sqref="F340">
    <cfRule type="endsWith" dxfId="5346" priority="6012" operator="endsWith" text="x">
      <formula>RIGHT(F340,LEN("x"))="x"</formula>
    </cfRule>
  </conditionalFormatting>
  <conditionalFormatting sqref="E224">
    <cfRule type="endsWith" dxfId="5345" priority="6777" operator="endsWith" text="x">
      <formula>RIGHT(E224,LEN("x"))="x"</formula>
    </cfRule>
  </conditionalFormatting>
  <conditionalFormatting sqref="G231 A231:A235 D231 C232:F232 C234:F234 C235:G235 C233:G233">
    <cfRule type="endsWith" dxfId="5344" priority="6776" operator="endsWith" text="x">
      <formula>RIGHT(A231,LEN("x"))="x"</formula>
    </cfRule>
  </conditionalFormatting>
  <conditionalFormatting sqref="A234:A235 C234:F234 C235:G235">
    <cfRule type="endsWith" dxfId="5343" priority="6775" operator="endsWith" text="x">
      <formula>RIGHT(A234,LEN("x"))="x"</formula>
    </cfRule>
  </conditionalFormatting>
  <conditionalFormatting sqref="D231 G231 A231:A233 C232:F232 C233:G233">
    <cfRule type="endsWith" dxfId="5342" priority="6774" operator="endsWith" text="x">
      <formula>RIGHT(A231,LEN("x"))="x"</formula>
    </cfRule>
  </conditionalFormatting>
  <conditionalFormatting sqref="E227">
    <cfRule type="endsWith" dxfId="5341" priority="6736" operator="endsWith" text="x">
      <formula>RIGHT(E227,LEN("x"))="x"</formula>
    </cfRule>
  </conditionalFormatting>
  <conditionalFormatting sqref="E231">
    <cfRule type="endsWith" dxfId="5340" priority="6735" operator="endsWith" text="x">
      <formula>RIGHT(E231,LEN("x"))="x"</formula>
    </cfRule>
  </conditionalFormatting>
  <conditionalFormatting sqref="E289">
    <cfRule type="endsWith" dxfId="5339" priority="6594" operator="endsWith" text="x">
      <formula>RIGHT(E289,LEN("x"))="x"</formula>
    </cfRule>
  </conditionalFormatting>
  <conditionalFormatting sqref="D284">
    <cfRule type="endsWith" dxfId="5338" priority="6593" operator="endsWith" text="x">
      <formula>RIGHT(D284,LEN("x"))="x"</formula>
    </cfRule>
  </conditionalFormatting>
  <conditionalFormatting sqref="D285">
    <cfRule type="endsWith" dxfId="5337" priority="6592" operator="endsWith" text="x">
      <formula>RIGHT(D285,LEN("x"))="x"</formula>
    </cfRule>
  </conditionalFormatting>
  <conditionalFormatting sqref="D286">
    <cfRule type="endsWith" dxfId="5336" priority="6591" operator="endsWith" text="x">
      <formula>RIGHT(D286,LEN("x"))="x"</formula>
    </cfRule>
  </conditionalFormatting>
  <conditionalFormatting sqref="D286">
    <cfRule type="endsWith" dxfId="5335" priority="6590" operator="endsWith" text="x">
      <formula>RIGHT(D286,LEN("x"))="x"</formula>
    </cfRule>
  </conditionalFormatting>
  <conditionalFormatting sqref="D287">
    <cfRule type="endsWith" dxfId="5334" priority="6589" operator="endsWith" text="x">
      <formula>RIGHT(D287,LEN("x"))="x"</formula>
    </cfRule>
  </conditionalFormatting>
  <conditionalFormatting sqref="F283">
    <cfRule type="endsWith" dxfId="5333" priority="6588" operator="endsWith" text="x">
      <formula>RIGHT(F283,LEN("x"))="x"</formula>
    </cfRule>
  </conditionalFormatting>
  <conditionalFormatting sqref="F283">
    <cfRule type="endsWith" dxfId="5332" priority="6587" operator="endsWith" text="x">
      <formula>RIGHT(F283,LEN("x"))="x"</formula>
    </cfRule>
  </conditionalFormatting>
  <conditionalFormatting sqref="F284">
    <cfRule type="endsWith" dxfId="5331" priority="6586" operator="endsWith" text="x">
      <formula>RIGHT(F284,LEN("x"))="x"</formula>
    </cfRule>
  </conditionalFormatting>
  <conditionalFormatting sqref="F284">
    <cfRule type="endsWith" dxfId="5330" priority="6585" operator="endsWith" text="x">
      <formula>RIGHT(F284,LEN("x"))="x"</formula>
    </cfRule>
  </conditionalFormatting>
  <conditionalFormatting sqref="F285">
    <cfRule type="endsWith" dxfId="5329" priority="6584" operator="endsWith" text="x">
      <formula>RIGHT(F285,LEN("x"))="x"</formula>
    </cfRule>
  </conditionalFormatting>
  <conditionalFormatting sqref="F285">
    <cfRule type="endsWith" dxfId="5328" priority="6583" operator="endsWith" text="x">
      <formula>RIGHT(F285,LEN("x"))="x"</formula>
    </cfRule>
  </conditionalFormatting>
  <conditionalFormatting sqref="F286">
    <cfRule type="endsWith" dxfId="5327" priority="6582" operator="endsWith" text="x">
      <formula>RIGHT(F286,LEN("x"))="x"</formula>
    </cfRule>
  </conditionalFormatting>
  <conditionalFormatting sqref="F286">
    <cfRule type="endsWith" dxfId="5326" priority="6581" operator="endsWith" text="x">
      <formula>RIGHT(F286,LEN("x"))="x"</formula>
    </cfRule>
  </conditionalFormatting>
  <conditionalFormatting sqref="F287">
    <cfRule type="endsWith" dxfId="5325" priority="6580" operator="endsWith" text="x">
      <formula>RIGHT(F287,LEN("x"))="x"</formula>
    </cfRule>
  </conditionalFormatting>
  <conditionalFormatting sqref="A259:A263">
    <cfRule type="endsWith" dxfId="5324" priority="6579" operator="endsWith" text="x">
      <formula>RIGHT(A259,LEN("x"))="x"</formula>
    </cfRule>
  </conditionalFormatting>
  <conditionalFormatting sqref="A262:A263">
    <cfRule type="endsWith" dxfId="5323" priority="6578" operator="endsWith" text="x">
      <formula>RIGHT(A262,LEN("x"))="x"</formula>
    </cfRule>
  </conditionalFormatting>
  <conditionalFormatting sqref="A259:A261">
    <cfRule type="endsWith" dxfId="5322" priority="6577" operator="endsWith" text="x">
      <formula>RIGHT(A259,LEN("x"))="x"</formula>
    </cfRule>
  </conditionalFormatting>
  <conditionalFormatting sqref="A289:A293">
    <cfRule type="endsWith" dxfId="5321" priority="6573" operator="endsWith" text="x">
      <formula>RIGHT(A289,LEN("x"))="x"</formula>
    </cfRule>
  </conditionalFormatting>
  <conditionalFormatting sqref="A292:A293">
    <cfRule type="endsWith" dxfId="5320" priority="6572" operator="endsWith" text="x">
      <formula>RIGHT(A292,LEN("x"))="x"</formula>
    </cfRule>
  </conditionalFormatting>
  <conditionalFormatting sqref="A289:A291">
    <cfRule type="endsWith" dxfId="5319" priority="6571" operator="endsWith" text="x">
      <formula>RIGHT(A289,LEN("x"))="x"</formula>
    </cfRule>
  </conditionalFormatting>
  <conditionalFormatting sqref="D259">
    <cfRule type="endsWith" dxfId="5318" priority="6570" operator="endsWith" text="x">
      <formula>RIGHT(D259,LEN("x"))="x"</formula>
    </cfRule>
  </conditionalFormatting>
  <conditionalFormatting sqref="D259">
    <cfRule type="endsWith" dxfId="5317" priority="6569" operator="endsWith" text="x">
      <formula>RIGHT(D259,LEN("x"))="x"</formula>
    </cfRule>
  </conditionalFormatting>
  <conditionalFormatting sqref="D289">
    <cfRule type="endsWith" dxfId="5316" priority="6568" operator="endsWith" text="x">
      <formula>RIGHT(D289,LEN("x"))="x"</formula>
    </cfRule>
  </conditionalFormatting>
  <conditionalFormatting sqref="D289">
    <cfRule type="endsWith" dxfId="5315" priority="6567" operator="endsWith" text="x">
      <formula>RIGHT(D289,LEN("x"))="x"</formula>
    </cfRule>
  </conditionalFormatting>
  <conditionalFormatting sqref="F259">
    <cfRule type="endsWith" dxfId="5314" priority="6566" operator="endsWith" text="x">
      <formula>RIGHT(F259,LEN("x"))="x"</formula>
    </cfRule>
  </conditionalFormatting>
  <conditionalFormatting sqref="F259">
    <cfRule type="endsWith" dxfId="5313" priority="6565" operator="endsWith" text="x">
      <formula>RIGHT(F259,LEN("x"))="x"</formula>
    </cfRule>
  </conditionalFormatting>
  <conditionalFormatting sqref="F289">
    <cfRule type="endsWith" dxfId="5312" priority="6564" operator="endsWith" text="x">
      <formula>RIGHT(F289,LEN("x"))="x"</formula>
    </cfRule>
  </conditionalFormatting>
  <conditionalFormatting sqref="F289">
    <cfRule type="endsWith" dxfId="5311" priority="6563" operator="endsWith" text="x">
      <formula>RIGHT(F289,LEN("x"))="x"</formula>
    </cfRule>
  </conditionalFormatting>
  <conditionalFormatting sqref="E810">
    <cfRule type="endsWith" dxfId="5310" priority="6702" operator="endsWith" text="x">
      <formula>RIGHT(E810,LEN("x"))="x"</formula>
    </cfRule>
  </conditionalFormatting>
  <conditionalFormatting sqref="E810">
    <cfRule type="endsWith" dxfId="5309" priority="6701" operator="endsWith" text="x">
      <formula>RIGHT(E810,LEN("x"))="x"</formula>
    </cfRule>
  </conditionalFormatting>
  <conditionalFormatting sqref="H245:K246 A238:G238 A244:K244 A239:B243 D239:D243 F239:G243">
    <cfRule type="endsWith" dxfId="5308" priority="6700" operator="endsWith" text="x">
      <formula>RIGHT(A238,LEN("x"))="x"</formula>
    </cfRule>
  </conditionalFormatting>
  <conditionalFormatting sqref="B240">
    <cfRule type="endsWith" dxfId="5307" priority="6699" operator="endsWith" text="x">
      <formula>RIGHT(B240,LEN("x"))="x"</formula>
    </cfRule>
  </conditionalFormatting>
  <conditionalFormatting sqref="B241">
    <cfRule type="endsWith" dxfId="5306" priority="6698" operator="endsWith" text="x">
      <formula>RIGHT(B241,LEN("x"))="x"</formula>
    </cfRule>
  </conditionalFormatting>
  <conditionalFormatting sqref="F239">
    <cfRule type="endsWith" dxfId="5305" priority="6697" operator="endsWith" text="x">
      <formula>RIGHT(F239,LEN("x"))="x"</formula>
    </cfRule>
  </conditionalFormatting>
  <conditionalFormatting sqref="G240">
    <cfRule type="endsWith" dxfId="5304" priority="6696" operator="endsWith" text="x">
      <formula>RIGHT(G240,LEN("x"))="x"</formula>
    </cfRule>
  </conditionalFormatting>
  <conditionalFormatting sqref="A242">
    <cfRule type="endsWith" dxfId="5303" priority="6695" operator="endsWith" text="x">
      <formula>RIGHT(A242,LEN("x"))="x"</formula>
    </cfRule>
  </conditionalFormatting>
  <conditionalFormatting sqref="B242 D242 G242">
    <cfRule type="endsWith" dxfId="5302" priority="6694" operator="endsWith" text="x">
      <formula>RIGHT(B242,LEN("x"))="x"</formula>
    </cfRule>
  </conditionalFormatting>
  <conditionalFormatting sqref="G248">
    <cfRule type="endsWith" dxfId="5301" priority="6681" operator="endsWith" text="x">
      <formula>RIGHT(G248,LEN("x"))="x"</formula>
    </cfRule>
  </conditionalFormatting>
  <conditionalFormatting sqref="E238">
    <cfRule type="endsWith" dxfId="5300" priority="6691" operator="endsWith" text="x">
      <formula>RIGHT(E238,LEN("x"))="x"</formula>
    </cfRule>
  </conditionalFormatting>
  <conditionalFormatting sqref="A248:A249 C248:F248 C249:G249">
    <cfRule type="endsWith" dxfId="5299" priority="6689" operator="endsWith" text="x">
      <formula>RIGHT(A248,LEN("x"))="x"</formula>
    </cfRule>
  </conditionalFormatting>
  <conditionalFormatting sqref="D245 G245 A245:A247 C246:F246 C247:G247">
    <cfRule type="endsWith" dxfId="5298" priority="6688" operator="endsWith" text="x">
      <formula>RIGHT(A245,LEN("x"))="x"</formula>
    </cfRule>
  </conditionalFormatting>
  <conditionalFormatting sqref="C289">
    <cfRule type="endsWith" dxfId="5297" priority="6607" operator="endsWith" text="x">
      <formula>RIGHT(C289,LEN("x"))="x"</formula>
    </cfRule>
  </conditionalFormatting>
  <conditionalFormatting sqref="G246">
    <cfRule type="endsWith" dxfId="5296" priority="6684" operator="endsWith" text="x">
      <formula>RIGHT(G246,LEN("x"))="x"</formula>
    </cfRule>
  </conditionalFormatting>
  <conditionalFormatting sqref="G246">
    <cfRule type="endsWith" dxfId="5295" priority="6683" operator="endsWith" text="x">
      <formula>RIGHT(G246,LEN("x"))="x"</formula>
    </cfRule>
  </conditionalFormatting>
  <conditionalFormatting sqref="G248">
    <cfRule type="endsWith" dxfId="5294" priority="6682" operator="endsWith" text="x">
      <formula>RIGHT(G248,LEN("x"))="x"</formula>
    </cfRule>
  </conditionalFormatting>
  <conditionalFormatting sqref="C239">
    <cfRule type="endsWith" dxfId="5293" priority="6667" operator="endsWith" text="x">
      <formula>RIGHT(C239,LEN("x"))="x"</formula>
    </cfRule>
  </conditionalFormatting>
  <conditionalFormatting sqref="C239">
    <cfRule type="endsWith" dxfId="5292" priority="6668" operator="endsWith" text="x">
      <formula>RIGHT(C239,LEN("x"))="x"</formula>
    </cfRule>
  </conditionalFormatting>
  <conditionalFormatting sqref="G504">
    <cfRule type="endsWith" dxfId="5291" priority="6464" operator="endsWith" text="x">
      <formula>RIGHT(G504,LEN("x"))="x"</formula>
    </cfRule>
  </conditionalFormatting>
  <conditionalFormatting sqref="B283:B286 B288">
    <cfRule type="endsWith" dxfId="5290" priority="6534" operator="endsWith" text="x">
      <formula>RIGHT(B283,LEN("x"))="x"</formula>
    </cfRule>
  </conditionalFormatting>
  <conditionalFormatting sqref="G507">
    <cfRule type="endsWith" dxfId="5289" priority="6466" operator="endsWith" text="x">
      <formula>RIGHT(G507,LEN("x"))="x"</formula>
    </cfRule>
  </conditionalFormatting>
  <conditionalFormatting sqref="B285">
    <cfRule type="endsWith" dxfId="5288" priority="6532" operator="endsWith" text="x">
      <formula>RIGHT(B285,LEN("x"))="x"</formula>
    </cfRule>
  </conditionalFormatting>
  <conditionalFormatting sqref="B286">
    <cfRule type="endsWith" dxfId="5287" priority="6531" operator="endsWith" text="x">
      <formula>RIGHT(B286,LEN("x"))="x"</formula>
    </cfRule>
  </conditionalFormatting>
  <conditionalFormatting sqref="G505 G503">
    <cfRule type="endsWith" dxfId="5286" priority="6465" operator="endsWith" text="x">
      <formula>RIGHT(G503,LEN("x"))="x"</formula>
    </cfRule>
  </conditionalFormatting>
  <conditionalFormatting sqref="G504">
    <cfRule type="endsWith" dxfId="5285" priority="6463" operator="endsWith" text="x">
      <formula>RIGHT(G504,LEN("x"))="x"</formula>
    </cfRule>
  </conditionalFormatting>
  <conditionalFormatting sqref="C240">
    <cfRule type="endsWith" dxfId="5284" priority="6666" operator="endsWith" text="x">
      <formula>RIGHT(C240,LEN("x"))="x"</formula>
    </cfRule>
  </conditionalFormatting>
  <conditionalFormatting sqref="C240">
    <cfRule type="endsWith" dxfId="5283" priority="6665" operator="endsWith" text="x">
      <formula>RIGHT(C240,LEN("x"))="x"</formula>
    </cfRule>
  </conditionalFormatting>
  <conditionalFormatting sqref="C241">
    <cfRule type="endsWith" dxfId="5282" priority="6664" operator="endsWith" text="x">
      <formula>RIGHT(C241,LEN("x"))="x"</formula>
    </cfRule>
  </conditionalFormatting>
  <conditionalFormatting sqref="C241">
    <cfRule type="endsWith" dxfId="5281" priority="6663" operator="endsWith" text="x">
      <formula>RIGHT(C241,LEN("x"))="x"</formula>
    </cfRule>
  </conditionalFormatting>
  <conditionalFormatting sqref="C242">
    <cfRule type="endsWith" dxfId="5280" priority="6662" operator="endsWith" text="x">
      <formula>RIGHT(C242,LEN("x"))="x"</formula>
    </cfRule>
  </conditionalFormatting>
  <conditionalFormatting sqref="C242">
    <cfRule type="endsWith" dxfId="5279" priority="6661" operator="endsWith" text="x">
      <formula>RIGHT(C242,LEN("x"))="x"</formula>
    </cfRule>
  </conditionalFormatting>
  <conditionalFormatting sqref="C243">
    <cfRule type="endsWith" dxfId="5278" priority="6660" operator="endsWith" text="x">
      <formula>RIGHT(C243,LEN("x"))="x"</formula>
    </cfRule>
  </conditionalFormatting>
  <conditionalFormatting sqref="C243">
    <cfRule type="endsWith" dxfId="5277" priority="6659" operator="endsWith" text="x">
      <formula>RIGHT(C243,LEN("x"))="x"</formula>
    </cfRule>
  </conditionalFormatting>
  <conditionalFormatting sqref="C245">
    <cfRule type="endsWith" dxfId="5276" priority="6658" operator="endsWith" text="x">
      <formula>RIGHT(C245,LEN("x"))="x"</formula>
    </cfRule>
  </conditionalFormatting>
  <conditionalFormatting sqref="C245">
    <cfRule type="endsWith" dxfId="5275" priority="6657" operator="endsWith" text="x">
      <formula>RIGHT(C245,LEN("x"))="x"</formula>
    </cfRule>
  </conditionalFormatting>
  <conditionalFormatting sqref="C253">
    <cfRule type="endsWith" dxfId="5274" priority="6655" operator="endsWith" text="x">
      <formula>RIGHT(C253,LEN("x"))="x"</formula>
    </cfRule>
  </conditionalFormatting>
  <conditionalFormatting sqref="C253">
    <cfRule type="endsWith" dxfId="5273" priority="6654" operator="endsWith" text="x">
      <formula>RIGHT(C253,LEN("x"))="x"</formula>
    </cfRule>
  </conditionalFormatting>
  <conditionalFormatting sqref="C254">
    <cfRule type="endsWith" dxfId="5272" priority="6653" operator="endsWith" text="x">
      <formula>RIGHT(C254,LEN("x"))="x"</formula>
    </cfRule>
  </conditionalFormatting>
  <conditionalFormatting sqref="C254">
    <cfRule type="endsWith" dxfId="5271" priority="6652" operator="endsWith" text="x">
      <formula>RIGHT(C254,LEN("x"))="x"</formula>
    </cfRule>
  </conditionalFormatting>
  <conditionalFormatting sqref="C255">
    <cfRule type="endsWith" dxfId="5270" priority="6651" operator="endsWith" text="x">
      <formula>RIGHT(C255,LEN("x"))="x"</formula>
    </cfRule>
  </conditionalFormatting>
  <conditionalFormatting sqref="C255">
    <cfRule type="endsWith" dxfId="5269" priority="6650" operator="endsWith" text="x">
      <formula>RIGHT(C255,LEN("x"))="x"</formula>
    </cfRule>
  </conditionalFormatting>
  <conditionalFormatting sqref="C256">
    <cfRule type="endsWith" dxfId="5268" priority="6649" operator="endsWith" text="x">
      <formula>RIGHT(C256,LEN("x"))="x"</formula>
    </cfRule>
  </conditionalFormatting>
  <conditionalFormatting sqref="C256">
    <cfRule type="endsWith" dxfId="5267" priority="6648" operator="endsWith" text="x">
      <formula>RIGHT(C256,LEN("x"))="x"</formula>
    </cfRule>
  </conditionalFormatting>
  <conditionalFormatting sqref="C257">
    <cfRule type="endsWith" dxfId="5266" priority="6647" operator="endsWith" text="x">
      <formula>RIGHT(C257,LEN("x"))="x"</formula>
    </cfRule>
  </conditionalFormatting>
  <conditionalFormatting sqref="C257">
    <cfRule type="endsWith" dxfId="5265" priority="6646" operator="endsWith" text="x">
      <formula>RIGHT(C257,LEN("x"))="x"</formula>
    </cfRule>
  </conditionalFormatting>
  <conditionalFormatting sqref="C259">
    <cfRule type="endsWith" dxfId="5264" priority="6645" operator="endsWith" text="x">
      <formula>RIGHT(C259,LEN("x"))="x"</formula>
    </cfRule>
  </conditionalFormatting>
  <conditionalFormatting sqref="C259">
    <cfRule type="endsWith" dxfId="5263" priority="6644" operator="endsWith" text="x">
      <formula>RIGHT(C259,LEN("x"))="x"</formula>
    </cfRule>
  </conditionalFormatting>
  <conditionalFormatting sqref="E253">
    <cfRule type="endsWith" dxfId="5262" priority="6643" operator="endsWith" text="x">
      <formula>RIGHT(E253,LEN("x"))="x"</formula>
    </cfRule>
  </conditionalFormatting>
  <conditionalFormatting sqref="E253">
    <cfRule type="endsWith" dxfId="5261" priority="6642" operator="endsWith" text="x">
      <formula>RIGHT(E253,LEN("x"))="x"</formula>
    </cfRule>
  </conditionalFormatting>
  <conditionalFormatting sqref="E254">
    <cfRule type="endsWith" dxfId="5260" priority="6641" operator="endsWith" text="x">
      <formula>RIGHT(E254,LEN("x"))="x"</formula>
    </cfRule>
  </conditionalFormatting>
  <conditionalFormatting sqref="E254">
    <cfRule type="endsWith" dxfId="5259" priority="6640" operator="endsWith" text="x">
      <formula>RIGHT(E254,LEN("x"))="x"</formula>
    </cfRule>
  </conditionalFormatting>
  <conditionalFormatting sqref="E255">
    <cfRule type="endsWith" dxfId="5258" priority="6639" operator="endsWith" text="x">
      <formula>RIGHT(E255,LEN("x"))="x"</formula>
    </cfRule>
  </conditionalFormatting>
  <conditionalFormatting sqref="E255">
    <cfRule type="endsWith" dxfId="5257" priority="6638" operator="endsWith" text="x">
      <formula>RIGHT(E255,LEN("x"))="x"</formula>
    </cfRule>
  </conditionalFormatting>
  <conditionalFormatting sqref="E256">
    <cfRule type="endsWith" dxfId="5256" priority="6637" operator="endsWith" text="x">
      <formula>RIGHT(E256,LEN("x"))="x"</formula>
    </cfRule>
  </conditionalFormatting>
  <conditionalFormatting sqref="E256">
    <cfRule type="endsWith" dxfId="5255" priority="6636" operator="endsWith" text="x">
      <formula>RIGHT(E256,LEN("x"))="x"</formula>
    </cfRule>
  </conditionalFormatting>
  <conditionalFormatting sqref="E257">
    <cfRule type="endsWith" dxfId="5254" priority="6635" operator="endsWith" text="x">
      <formula>RIGHT(E257,LEN("x"))="x"</formula>
    </cfRule>
  </conditionalFormatting>
  <conditionalFormatting sqref="E257">
    <cfRule type="endsWith" dxfId="5253" priority="6634" operator="endsWith" text="x">
      <formula>RIGHT(E257,LEN("x"))="x"</formula>
    </cfRule>
  </conditionalFormatting>
  <conditionalFormatting sqref="E259">
    <cfRule type="endsWith" dxfId="5252" priority="6633" operator="endsWith" text="x">
      <formula>RIGHT(E259,LEN("x"))="x"</formula>
    </cfRule>
  </conditionalFormatting>
  <conditionalFormatting sqref="E259">
    <cfRule type="endsWith" dxfId="5251" priority="6632" operator="endsWith" text="x">
      <formula>RIGHT(E259,LEN("x"))="x"</formula>
    </cfRule>
  </conditionalFormatting>
  <conditionalFormatting sqref="D254">
    <cfRule type="endsWith" dxfId="5250" priority="6631" operator="endsWith" text="x">
      <formula>RIGHT(D254,LEN("x"))="x"</formula>
    </cfRule>
  </conditionalFormatting>
  <conditionalFormatting sqref="D255">
    <cfRule type="endsWith" dxfId="5249" priority="6630" operator="endsWith" text="x">
      <formula>RIGHT(D255,LEN("x"))="x"</formula>
    </cfRule>
  </conditionalFormatting>
  <conditionalFormatting sqref="D346">
    <cfRule type="endsWith" dxfId="5248" priority="5798" operator="endsWith" text="x">
      <formula>RIGHT(D346,LEN("x"))="x"</formula>
    </cfRule>
  </conditionalFormatting>
  <conditionalFormatting sqref="D256">
    <cfRule type="endsWith" dxfId="5247" priority="6629" operator="endsWith" text="x">
      <formula>RIGHT(D256,LEN("x"))="x"</formula>
    </cfRule>
  </conditionalFormatting>
  <conditionalFormatting sqref="D256">
    <cfRule type="endsWith" dxfId="5246" priority="6628" operator="endsWith" text="x">
      <formula>RIGHT(D256,LEN("x"))="x"</formula>
    </cfRule>
  </conditionalFormatting>
  <conditionalFormatting sqref="D257">
    <cfRule type="endsWith" dxfId="5245" priority="6627" operator="endsWith" text="x">
      <formula>RIGHT(D257,LEN("x"))="x"</formula>
    </cfRule>
  </conditionalFormatting>
  <conditionalFormatting sqref="F253">
    <cfRule type="endsWith" dxfId="5244" priority="6626" operator="endsWith" text="x">
      <formula>RIGHT(F253,LEN("x"))="x"</formula>
    </cfRule>
  </conditionalFormatting>
  <conditionalFormatting sqref="F253">
    <cfRule type="endsWith" dxfId="5243" priority="6625" operator="endsWith" text="x">
      <formula>RIGHT(F253,LEN("x"))="x"</formula>
    </cfRule>
  </conditionalFormatting>
  <conditionalFormatting sqref="F254">
    <cfRule type="endsWith" dxfId="5242" priority="6624" operator="endsWith" text="x">
      <formula>RIGHT(F254,LEN("x"))="x"</formula>
    </cfRule>
  </conditionalFormatting>
  <conditionalFormatting sqref="F254">
    <cfRule type="endsWith" dxfId="5241" priority="6623" operator="endsWith" text="x">
      <formula>RIGHT(F254,LEN("x"))="x"</formula>
    </cfRule>
  </conditionalFormatting>
  <conditionalFormatting sqref="F255">
    <cfRule type="endsWith" dxfId="5240" priority="6622" operator="endsWith" text="x">
      <formula>RIGHT(F255,LEN("x"))="x"</formula>
    </cfRule>
  </conditionalFormatting>
  <conditionalFormatting sqref="F255">
    <cfRule type="endsWith" dxfId="5239" priority="6621" operator="endsWith" text="x">
      <formula>RIGHT(F255,LEN("x"))="x"</formula>
    </cfRule>
  </conditionalFormatting>
  <conditionalFormatting sqref="F256">
    <cfRule type="endsWith" dxfId="5238" priority="6620" operator="endsWith" text="x">
      <formula>RIGHT(F256,LEN("x"))="x"</formula>
    </cfRule>
  </conditionalFormatting>
  <conditionalFormatting sqref="F256">
    <cfRule type="endsWith" dxfId="5237" priority="6619" operator="endsWith" text="x">
      <formula>RIGHT(F256,LEN("x"))="x"</formula>
    </cfRule>
  </conditionalFormatting>
  <conditionalFormatting sqref="F257">
    <cfRule type="endsWith" dxfId="5236" priority="6618" operator="endsWith" text="x">
      <formula>RIGHT(F257,LEN("x"))="x"</formula>
    </cfRule>
  </conditionalFormatting>
  <conditionalFormatting sqref="C283">
    <cfRule type="endsWith" dxfId="5235" priority="6617" operator="endsWith" text="x">
      <formula>RIGHT(C283,LEN("x"))="x"</formula>
    </cfRule>
  </conditionalFormatting>
  <conditionalFormatting sqref="C283">
    <cfRule type="endsWith" dxfId="5234" priority="6616" operator="endsWith" text="x">
      <formula>RIGHT(C283,LEN("x"))="x"</formula>
    </cfRule>
  </conditionalFormatting>
  <conditionalFormatting sqref="C284">
    <cfRule type="endsWith" dxfId="5233" priority="6615" operator="endsWith" text="x">
      <formula>RIGHT(C284,LEN("x"))="x"</formula>
    </cfRule>
  </conditionalFormatting>
  <conditionalFormatting sqref="C284">
    <cfRule type="endsWith" dxfId="5232" priority="6614" operator="endsWith" text="x">
      <formula>RIGHT(C284,LEN("x"))="x"</formula>
    </cfRule>
  </conditionalFormatting>
  <conditionalFormatting sqref="C285">
    <cfRule type="endsWith" dxfId="5231" priority="6613" operator="endsWith" text="x">
      <formula>RIGHT(C285,LEN("x"))="x"</formula>
    </cfRule>
  </conditionalFormatting>
  <conditionalFormatting sqref="C285">
    <cfRule type="endsWith" dxfId="5230" priority="6612" operator="endsWith" text="x">
      <formula>RIGHT(C285,LEN("x"))="x"</formula>
    </cfRule>
  </conditionalFormatting>
  <conditionalFormatting sqref="C286">
    <cfRule type="endsWith" dxfId="5229" priority="6611" operator="endsWith" text="x">
      <formula>RIGHT(C286,LEN("x"))="x"</formula>
    </cfRule>
  </conditionalFormatting>
  <conditionalFormatting sqref="C286">
    <cfRule type="endsWith" dxfId="5228" priority="6610" operator="endsWith" text="x">
      <formula>RIGHT(C286,LEN("x"))="x"</formula>
    </cfRule>
  </conditionalFormatting>
  <conditionalFormatting sqref="C287">
    <cfRule type="endsWith" dxfId="5227" priority="6609" operator="endsWith" text="x">
      <formula>RIGHT(C287,LEN("x"))="x"</formula>
    </cfRule>
  </conditionalFormatting>
  <conditionalFormatting sqref="C287">
    <cfRule type="endsWith" dxfId="5226" priority="6608" operator="endsWith" text="x">
      <formula>RIGHT(C287,LEN("x"))="x"</formula>
    </cfRule>
  </conditionalFormatting>
  <conditionalFormatting sqref="C289">
    <cfRule type="endsWith" dxfId="5225" priority="6606" operator="endsWith" text="x">
      <formula>RIGHT(C289,LEN("x"))="x"</formula>
    </cfRule>
  </conditionalFormatting>
  <conditionalFormatting sqref="E283">
    <cfRule type="endsWith" dxfId="5224" priority="6605" operator="endsWith" text="x">
      <formula>RIGHT(E283,LEN("x"))="x"</formula>
    </cfRule>
  </conditionalFormatting>
  <conditionalFormatting sqref="E283">
    <cfRule type="endsWith" dxfId="5223" priority="6604" operator="endsWith" text="x">
      <formula>RIGHT(E283,LEN("x"))="x"</formula>
    </cfRule>
  </conditionalFormatting>
  <conditionalFormatting sqref="E284">
    <cfRule type="endsWith" dxfId="5222" priority="6603" operator="endsWith" text="x">
      <formula>RIGHT(E284,LEN("x"))="x"</formula>
    </cfRule>
  </conditionalFormatting>
  <conditionalFormatting sqref="E284">
    <cfRule type="endsWith" dxfId="5221" priority="6602" operator="endsWith" text="x">
      <formula>RIGHT(E284,LEN("x"))="x"</formula>
    </cfRule>
  </conditionalFormatting>
  <conditionalFormatting sqref="E285">
    <cfRule type="endsWith" dxfId="5220" priority="6601" operator="endsWith" text="x">
      <formula>RIGHT(E285,LEN("x"))="x"</formula>
    </cfRule>
  </conditionalFormatting>
  <conditionalFormatting sqref="E285">
    <cfRule type="endsWith" dxfId="5219" priority="6600" operator="endsWith" text="x">
      <formula>RIGHT(E285,LEN("x"))="x"</formula>
    </cfRule>
  </conditionalFormatting>
  <conditionalFormatting sqref="E286">
    <cfRule type="endsWith" dxfId="5218" priority="6599" operator="endsWith" text="x">
      <formula>RIGHT(E286,LEN("x"))="x"</formula>
    </cfRule>
  </conditionalFormatting>
  <conditionalFormatting sqref="E286">
    <cfRule type="endsWith" dxfId="5217" priority="6598" operator="endsWith" text="x">
      <formula>RIGHT(E286,LEN("x"))="x"</formula>
    </cfRule>
  </conditionalFormatting>
  <conditionalFormatting sqref="E287">
    <cfRule type="endsWith" dxfId="5216" priority="6597" operator="endsWith" text="x">
      <formula>RIGHT(E287,LEN("x"))="x"</formula>
    </cfRule>
  </conditionalFormatting>
  <conditionalFormatting sqref="E287">
    <cfRule type="endsWith" dxfId="5215" priority="6596" operator="endsWith" text="x">
      <formula>RIGHT(E287,LEN("x"))="x"</formula>
    </cfRule>
  </conditionalFormatting>
  <conditionalFormatting sqref="E289">
    <cfRule type="endsWith" dxfId="5214" priority="6595" operator="endsWith" text="x">
      <formula>RIGHT(E289,LEN("x"))="x"</formula>
    </cfRule>
  </conditionalFormatting>
  <conditionalFormatting sqref="E349">
    <cfRule type="endsWith" dxfId="5213" priority="5800" operator="endsWith" text="x">
      <formula>RIGHT(E349,LEN("x"))="x"</formula>
    </cfRule>
  </conditionalFormatting>
  <conditionalFormatting sqref="G253:G257">
    <cfRule type="endsWith" dxfId="5212" priority="6562" operator="endsWith" text="x">
      <formula>RIGHT(G253,LEN("x"))="x"</formula>
    </cfRule>
  </conditionalFormatting>
  <conditionalFormatting sqref="G254">
    <cfRule type="endsWith" dxfId="5211" priority="6561" operator="endsWith" text="x">
      <formula>RIGHT(G254,LEN("x"))="x"</formula>
    </cfRule>
  </conditionalFormatting>
  <conditionalFormatting sqref="G256">
    <cfRule type="endsWith" dxfId="5210" priority="6560" operator="endsWith" text="x">
      <formula>RIGHT(G256,LEN("x"))="x"</formula>
    </cfRule>
  </conditionalFormatting>
  <conditionalFormatting sqref="G261 G259 G263">
    <cfRule type="endsWith" dxfId="5209" priority="6559" operator="endsWith" text="x">
      <formula>RIGHT(G259,LEN("x"))="x"</formula>
    </cfRule>
  </conditionalFormatting>
  <conditionalFormatting sqref="G263">
    <cfRule type="endsWith" dxfId="5208" priority="6558" operator="endsWith" text="x">
      <formula>RIGHT(G263,LEN("x"))="x"</formula>
    </cfRule>
  </conditionalFormatting>
  <conditionalFormatting sqref="G261 G259">
    <cfRule type="endsWith" dxfId="5207" priority="6557" operator="endsWith" text="x">
      <formula>RIGHT(G259,LEN("x"))="x"</formula>
    </cfRule>
  </conditionalFormatting>
  <conditionalFormatting sqref="G260">
    <cfRule type="endsWith" dxfId="5206" priority="6556" operator="endsWith" text="x">
      <formula>RIGHT(G260,LEN("x"))="x"</formula>
    </cfRule>
  </conditionalFormatting>
  <conditionalFormatting sqref="G260">
    <cfRule type="endsWith" dxfId="5205" priority="6555" operator="endsWith" text="x">
      <formula>RIGHT(G260,LEN("x"))="x"</formula>
    </cfRule>
  </conditionalFormatting>
  <conditionalFormatting sqref="G262">
    <cfRule type="endsWith" dxfId="5204" priority="6554" operator="endsWith" text="x">
      <formula>RIGHT(G262,LEN("x"))="x"</formula>
    </cfRule>
  </conditionalFormatting>
  <conditionalFormatting sqref="G262">
    <cfRule type="endsWith" dxfId="5203" priority="6553" operator="endsWith" text="x">
      <formula>RIGHT(G262,LEN("x"))="x"</formula>
    </cfRule>
  </conditionalFormatting>
  <conditionalFormatting sqref="G283:G287">
    <cfRule type="endsWith" dxfId="5202" priority="6552" operator="endsWith" text="x">
      <formula>RIGHT(G283,LEN("x"))="x"</formula>
    </cfRule>
  </conditionalFormatting>
  <conditionalFormatting sqref="G284">
    <cfRule type="endsWith" dxfId="5201" priority="6551" operator="endsWith" text="x">
      <formula>RIGHT(G284,LEN("x"))="x"</formula>
    </cfRule>
  </conditionalFormatting>
  <conditionalFormatting sqref="G286">
    <cfRule type="endsWith" dxfId="5200" priority="6550" operator="endsWith" text="x">
      <formula>RIGHT(G286,LEN("x"))="x"</formula>
    </cfRule>
  </conditionalFormatting>
  <conditionalFormatting sqref="G291 G289 G293">
    <cfRule type="endsWith" dxfId="5199" priority="6549" operator="endsWith" text="x">
      <formula>RIGHT(G289,LEN("x"))="x"</formula>
    </cfRule>
  </conditionalFormatting>
  <conditionalFormatting sqref="G293">
    <cfRule type="endsWith" dxfId="5198" priority="6548" operator="endsWith" text="x">
      <formula>RIGHT(G293,LEN("x"))="x"</formula>
    </cfRule>
  </conditionalFormatting>
  <conditionalFormatting sqref="G291 G289">
    <cfRule type="endsWith" dxfId="5197" priority="6547" operator="endsWith" text="x">
      <formula>RIGHT(G289,LEN("x"))="x"</formula>
    </cfRule>
  </conditionalFormatting>
  <conditionalFormatting sqref="G290">
    <cfRule type="endsWith" dxfId="5196" priority="6546" operator="endsWith" text="x">
      <formula>RIGHT(G290,LEN("x"))="x"</formula>
    </cfRule>
  </conditionalFormatting>
  <conditionalFormatting sqref="G290">
    <cfRule type="endsWith" dxfId="5195" priority="6545" operator="endsWith" text="x">
      <formula>RIGHT(G290,LEN("x"))="x"</formula>
    </cfRule>
  </conditionalFormatting>
  <conditionalFormatting sqref="G292">
    <cfRule type="endsWith" dxfId="5194" priority="6544" operator="endsWith" text="x">
      <formula>RIGHT(G292,LEN("x"))="x"</formula>
    </cfRule>
  </conditionalFormatting>
  <conditionalFormatting sqref="G292">
    <cfRule type="endsWith" dxfId="5193" priority="6543" operator="endsWith" text="x">
      <formula>RIGHT(G292,LEN("x"))="x"</formula>
    </cfRule>
  </conditionalFormatting>
  <conditionalFormatting sqref="B253:B256 B258">
    <cfRule type="endsWith" dxfId="5192" priority="6542" operator="endsWith" text="x">
      <formula>RIGHT(B253,LEN("x"))="x"</formula>
    </cfRule>
  </conditionalFormatting>
  <conditionalFormatting sqref="B254">
    <cfRule type="endsWith" dxfId="5191" priority="6541" operator="endsWith" text="x">
      <formula>RIGHT(B254,LEN("x"))="x"</formula>
    </cfRule>
  </conditionalFormatting>
  <conditionalFormatting sqref="B255">
    <cfRule type="endsWith" dxfId="5190" priority="6540" operator="endsWith" text="x">
      <formula>RIGHT(B255,LEN("x"))="x"</formula>
    </cfRule>
  </conditionalFormatting>
  <conditionalFormatting sqref="B256">
    <cfRule type="endsWith" dxfId="5189" priority="6539" operator="endsWith" text="x">
      <formula>RIGHT(B256,LEN("x"))="x"</formula>
    </cfRule>
  </conditionalFormatting>
  <conditionalFormatting sqref="G506">
    <cfRule type="endsWith" dxfId="5188" priority="6462" operator="endsWith" text="x">
      <formula>RIGHT(G506,LEN("x"))="x"</formula>
    </cfRule>
  </conditionalFormatting>
  <conditionalFormatting sqref="B284">
    <cfRule type="endsWith" dxfId="5187" priority="6533" operator="endsWith" text="x">
      <formula>RIGHT(B284,LEN("x"))="x"</formula>
    </cfRule>
  </conditionalFormatting>
  <conditionalFormatting sqref="E369">
    <cfRule type="endsWith" dxfId="5186" priority="5775" operator="endsWith" text="x">
      <formula>RIGHT(E369,LEN("x"))="x"</formula>
    </cfRule>
  </conditionalFormatting>
  <conditionalFormatting sqref="B346">
    <cfRule type="endsWith" dxfId="5185" priority="5780" operator="endsWith" text="x">
      <formula>RIGHT(B346,LEN("x"))="x"</formula>
    </cfRule>
  </conditionalFormatting>
  <conditionalFormatting sqref="B347">
    <cfRule type="endsWith" dxfId="5184" priority="5779" operator="endsWith" text="x">
      <formula>RIGHT(B347,LEN("x"))="x"</formula>
    </cfRule>
  </conditionalFormatting>
  <conditionalFormatting sqref="E348">
    <cfRule type="endsWith" dxfId="5183" priority="5801" operator="endsWith" text="x">
      <formula>RIGHT(E348,LEN("x"))="x"</formula>
    </cfRule>
  </conditionalFormatting>
  <conditionalFormatting sqref="A503:A507">
    <cfRule type="endsWith" dxfId="5182" priority="6477" operator="endsWith" text="x">
      <formula>RIGHT(A503,LEN("x"))="x"</formula>
    </cfRule>
  </conditionalFormatting>
  <conditionalFormatting sqref="A506:A507">
    <cfRule type="endsWith" dxfId="5181" priority="6476" operator="endsWith" text="x">
      <formula>RIGHT(A506,LEN("x"))="x"</formula>
    </cfRule>
  </conditionalFormatting>
  <conditionalFormatting sqref="A503:A505">
    <cfRule type="endsWith" dxfId="5180" priority="6475" operator="endsWith" text="x">
      <formula>RIGHT(A503,LEN("x"))="x"</formula>
    </cfRule>
  </conditionalFormatting>
  <conditionalFormatting sqref="D503">
    <cfRule type="endsWith" dxfId="5179" priority="6474" operator="endsWith" text="x">
      <formula>RIGHT(D503,LEN("x"))="x"</formula>
    </cfRule>
  </conditionalFormatting>
  <conditionalFormatting sqref="D503">
    <cfRule type="endsWith" dxfId="5178" priority="6473" operator="endsWith" text="x">
      <formula>RIGHT(D503,LEN("x"))="x"</formula>
    </cfRule>
  </conditionalFormatting>
  <conditionalFormatting sqref="F503">
    <cfRule type="endsWith" dxfId="5177" priority="6472" operator="endsWith" text="x">
      <formula>RIGHT(F503,LEN("x"))="x"</formula>
    </cfRule>
  </conditionalFormatting>
  <conditionalFormatting sqref="F503">
    <cfRule type="endsWith" dxfId="5176" priority="6471" operator="endsWith" text="x">
      <formula>RIGHT(F503,LEN("x"))="x"</formula>
    </cfRule>
  </conditionalFormatting>
  <conditionalFormatting sqref="E240">
    <cfRule type="endsWith" dxfId="5175" priority="6406" operator="endsWith" text="x">
      <formula>RIGHT(E240,LEN("x"))="x"</formula>
    </cfRule>
  </conditionalFormatting>
  <conditionalFormatting sqref="E239">
    <cfRule type="endsWith" dxfId="5174" priority="6407" operator="endsWith" text="x">
      <formula>RIGHT(E239,LEN("x"))="x"</formula>
    </cfRule>
  </conditionalFormatting>
  <conditionalFormatting sqref="E241">
    <cfRule type="endsWith" dxfId="5173" priority="6405" operator="endsWith" text="x">
      <formula>RIGHT(E241,LEN("x"))="x"</formula>
    </cfRule>
  </conditionalFormatting>
  <conditionalFormatting sqref="C380">
    <cfRule type="endsWith" dxfId="5172" priority="5748" operator="endsWith" text="x">
      <formula>RIGHT(C380,LEN("x"))="x"</formula>
    </cfRule>
  </conditionalFormatting>
  <conditionalFormatting sqref="C500">
    <cfRule type="endsWith" dxfId="5171" priority="6347" operator="endsWith" text="x">
      <formula>RIGHT(C500,LEN("x"))="x"</formula>
    </cfRule>
  </conditionalFormatting>
  <conditionalFormatting sqref="G505 G503 G507">
    <cfRule type="endsWith" dxfId="5170" priority="6467" operator="endsWith" text="x">
      <formula>RIGHT(G503,LEN("x"))="x"</formula>
    </cfRule>
  </conditionalFormatting>
  <conditionalFormatting sqref="G506">
    <cfRule type="endsWith" dxfId="5169" priority="6461" operator="endsWith" text="x">
      <formula>RIGHT(G506,LEN("x"))="x"</formula>
    </cfRule>
  </conditionalFormatting>
  <conditionalFormatting sqref="C381">
    <cfRule type="endsWith" dxfId="5168" priority="5746" operator="endsWith" text="x">
      <formula>RIGHT(C381,LEN("x"))="x"</formula>
    </cfRule>
  </conditionalFormatting>
  <conditionalFormatting sqref="A498:G498">
    <cfRule type="endsWith" dxfId="5167" priority="6449" operator="endsWith" text="x">
      <formula>RIGHT(A498,LEN("x"))="x"</formula>
    </cfRule>
  </conditionalFormatting>
  <conditionalFormatting sqref="E498">
    <cfRule type="endsWith" dxfId="5166" priority="6446" operator="endsWith" text="x">
      <formula>RIGHT(E498,LEN("x"))="x"</formula>
    </cfRule>
  </conditionalFormatting>
  <conditionalFormatting sqref="C503">
    <cfRule type="endsWith" dxfId="5165" priority="6345" operator="endsWith" text="x">
      <formula>RIGHT(C503,LEN("x"))="x"</formula>
    </cfRule>
  </conditionalFormatting>
  <conditionalFormatting sqref="E499">
    <cfRule type="endsWith" dxfId="5164" priority="6344" operator="endsWith" text="x">
      <formula>RIGHT(E499,LEN("x"))="x"</formula>
    </cfRule>
  </conditionalFormatting>
  <conditionalFormatting sqref="E501">
    <cfRule type="endsWith" dxfId="5163" priority="6342" operator="endsWith" text="x">
      <formula>RIGHT(E501,LEN("x"))="x"</formula>
    </cfRule>
  </conditionalFormatting>
  <conditionalFormatting sqref="E503">
    <cfRule type="endsWith" dxfId="5162" priority="6341" operator="endsWith" text="x">
      <formula>RIGHT(E503,LEN("x"))="x"</formula>
    </cfRule>
  </conditionalFormatting>
  <conditionalFormatting sqref="A403:B405 D403:D405 F403:G405">
    <cfRule type="endsWith" dxfId="5161" priority="6339" operator="endsWith" text="x">
      <formula>RIGHT(A403,LEN("x"))="x"</formula>
    </cfRule>
  </conditionalFormatting>
  <conditionalFormatting sqref="E493">
    <cfRule type="endsWith" dxfId="5160" priority="6300" operator="endsWith" text="x">
      <formula>RIGHT(E493,LEN("x"))="x"</formula>
    </cfRule>
  </conditionalFormatting>
  <conditionalFormatting sqref="A494:A495">
    <cfRule type="endsWith" dxfId="5159" priority="6294" operator="endsWith" text="x">
      <formula>RIGHT(A494,LEN("x"))="x"</formula>
    </cfRule>
  </conditionalFormatting>
  <conditionalFormatting sqref="C471">
    <cfRule type="endsWith" dxfId="5158" priority="6273" operator="endsWith" text="x">
      <formula>RIGHT(C471,LEN("x"))="x"</formula>
    </cfRule>
  </conditionalFormatting>
  <conditionalFormatting sqref="A468:G468">
    <cfRule type="endsWith" dxfId="5157" priority="6283" operator="endsWith" text="x">
      <formula>RIGHT(A468,LEN("x"))="x"</formula>
    </cfRule>
  </conditionalFormatting>
  <conditionalFormatting sqref="A486:G486">
    <cfRule type="endsWith" dxfId="5156" priority="6269" operator="endsWith" text="x">
      <formula>RIGHT(A486,LEN("x"))="x"</formula>
    </cfRule>
  </conditionalFormatting>
  <conditionalFormatting sqref="A464:A465">
    <cfRule type="endsWith" dxfId="5155" priority="6293" operator="endsWith" text="x">
      <formula>RIGHT(A464,LEN("x"))="x"</formula>
    </cfRule>
  </conditionalFormatting>
  <conditionalFormatting sqref="E405">
    <cfRule type="endsWith" dxfId="5154" priority="6301" operator="endsWith" text="x">
      <formula>RIGHT(E405,LEN("x"))="x"</formula>
    </cfRule>
  </conditionalFormatting>
  <conditionalFormatting sqref="E404">
    <cfRule type="endsWith" dxfId="5153" priority="6302" operator="endsWith" text="x">
      <formula>RIGHT(E404,LEN("x"))="x"</formula>
    </cfRule>
  </conditionalFormatting>
  <conditionalFormatting sqref="C405">
    <cfRule type="endsWith" dxfId="5152" priority="6290" operator="endsWith" text="x">
      <formula>RIGHT(C405,LEN("x"))="x"</formula>
    </cfRule>
  </conditionalFormatting>
  <conditionalFormatting sqref="C463">
    <cfRule type="endsWith" dxfId="5151" priority="6289" operator="endsWith" text="x">
      <formula>RIGHT(C463,LEN("x"))="x"</formula>
    </cfRule>
  </conditionalFormatting>
  <conditionalFormatting sqref="A469:B469 D469:D471 B470 F469:G471">
    <cfRule type="endsWith" dxfId="5150" priority="6280" operator="endsWith" text="x">
      <formula>RIGHT(A469,LEN("x"))="x"</formula>
    </cfRule>
  </conditionalFormatting>
  <conditionalFormatting sqref="E468">
    <cfRule type="endsWith" dxfId="5149" priority="6281" operator="endsWith" text="x">
      <formula>RIGHT(E468,LEN("x"))="x"</formula>
    </cfRule>
  </conditionalFormatting>
  <conditionalFormatting sqref="E445">
    <cfRule type="endsWith" dxfId="5148" priority="6139" operator="endsWith" text="x">
      <formula>RIGHT(E445,LEN("x"))="x"</formula>
    </cfRule>
  </conditionalFormatting>
  <conditionalFormatting sqref="C447">
    <cfRule type="endsWith" dxfId="5147" priority="6140" operator="endsWith" text="x">
      <formula>RIGHT(C447,LEN("x"))="x"</formula>
    </cfRule>
  </conditionalFormatting>
  <conditionalFormatting sqref="E242">
    <cfRule type="endsWith" dxfId="5146" priority="6404" operator="endsWith" text="x">
      <formula>RIGHT(E242,LEN("x"))="x"</formula>
    </cfRule>
  </conditionalFormatting>
  <conditionalFormatting sqref="E243">
    <cfRule type="endsWith" dxfId="5145" priority="6403" operator="endsWith" text="x">
      <formula>RIGHT(E243,LEN("x"))="x"</formula>
    </cfRule>
  </conditionalFormatting>
  <conditionalFormatting sqref="E245">
    <cfRule type="endsWith" dxfId="5144" priority="6402" operator="endsWith" text="x">
      <formula>RIGHT(E245,LEN("x"))="x"</formula>
    </cfRule>
  </conditionalFormatting>
  <conditionalFormatting sqref="A402:G402">
    <cfRule type="endsWith" dxfId="5143" priority="6399" operator="endsWith" text="x">
      <formula>RIGHT(A402,LEN("x"))="x"</formula>
    </cfRule>
  </conditionalFormatting>
  <conditionalFormatting sqref="E459">
    <cfRule type="endsWith" dxfId="5142" priority="6094" operator="endsWith" text="x">
      <formula>RIGHT(E459,LEN("x"))="x"</formula>
    </cfRule>
  </conditionalFormatting>
  <conditionalFormatting sqref="E402">
    <cfRule type="endsWith" dxfId="5141" priority="6396" operator="endsWith" text="x">
      <formula>RIGHT(E402,LEN("x"))="x"</formula>
    </cfRule>
  </conditionalFormatting>
  <conditionalFormatting sqref="E495">
    <cfRule type="endsWith" dxfId="5140" priority="6298" operator="endsWith" text="x">
      <formula>RIGHT(E495,LEN("x"))="x"</formula>
    </cfRule>
  </conditionalFormatting>
  <conditionalFormatting sqref="A492:G492">
    <cfRule type="endsWith" dxfId="5139" priority="6389" operator="endsWith" text="x">
      <formula>RIGHT(A492,LEN("x"))="x"</formula>
    </cfRule>
  </conditionalFormatting>
  <conditionalFormatting sqref="E492">
    <cfRule type="endsWith" dxfId="5138" priority="6386" operator="endsWith" text="x">
      <formula>RIGHT(E492,LEN("x"))="x"</formula>
    </cfRule>
  </conditionalFormatting>
  <conditionalFormatting sqref="C403">
    <cfRule type="endsWith" dxfId="5137" priority="6292" operator="endsWith" text="x">
      <formula>RIGHT(C403,LEN("x"))="x"</formula>
    </cfRule>
  </conditionalFormatting>
  <conditionalFormatting sqref="C404">
    <cfRule type="endsWith" dxfId="5136" priority="6291" operator="endsWith" text="x">
      <formula>RIGHT(C404,LEN("x"))="x"</formula>
    </cfRule>
  </conditionalFormatting>
  <conditionalFormatting sqref="A462:G462">
    <cfRule type="endsWith" dxfId="5135" priority="6379" operator="endsWith" text="x">
      <formula>RIGHT(A462,LEN("x"))="x"</formula>
    </cfRule>
  </conditionalFormatting>
  <conditionalFormatting sqref="E429">
    <cfRule type="endsWith" dxfId="5134" priority="6224" operator="endsWith" text="x">
      <formula>RIGHT(E429,LEN("x"))="x"</formula>
    </cfRule>
  </conditionalFormatting>
  <conditionalFormatting sqref="E462">
    <cfRule type="endsWith" dxfId="5133" priority="6376" operator="endsWith" text="x">
      <formula>RIGHT(E462,LEN("x"))="x"</formula>
    </cfRule>
  </conditionalFormatting>
  <conditionalFormatting sqref="C465">
    <cfRule type="endsWith" dxfId="5132" priority="6287" operator="endsWith" text="x">
      <formula>RIGHT(C465,LEN("x"))="x"</formula>
    </cfRule>
  </conditionalFormatting>
  <conditionalFormatting sqref="E463">
    <cfRule type="endsWith" dxfId="5131" priority="6286" operator="endsWith" text="x">
      <formula>RIGHT(E463,LEN("x"))="x"</formula>
    </cfRule>
  </conditionalFormatting>
  <conditionalFormatting sqref="E464">
    <cfRule type="endsWith" dxfId="5130" priority="6285" operator="endsWith" text="x">
      <formula>RIGHT(E464,LEN("x"))="x"</formula>
    </cfRule>
  </conditionalFormatting>
  <conditionalFormatting sqref="E465">
    <cfRule type="endsWith" dxfId="5129" priority="6284" operator="endsWith" text="x">
      <formula>RIGHT(E465,LEN("x"))="x"</formula>
    </cfRule>
  </conditionalFormatting>
  <conditionalFormatting sqref="C446">
    <cfRule type="endsWith" dxfId="5128" priority="6143" operator="endsWith" text="x">
      <formula>RIGHT(C446,LEN("x"))="x"</formula>
    </cfRule>
  </conditionalFormatting>
  <conditionalFormatting sqref="E469">
    <cfRule type="endsWith" dxfId="5127" priority="6272" operator="endsWith" text="x">
      <formula>RIGHT(E469,LEN("x"))="x"</formula>
    </cfRule>
  </conditionalFormatting>
  <conditionalFormatting sqref="E494">
    <cfRule type="endsWith" dxfId="5126" priority="6299" operator="endsWith" text="x">
      <formula>RIGHT(E494,LEN("x"))="x"</formula>
    </cfRule>
  </conditionalFormatting>
  <conditionalFormatting sqref="E403">
    <cfRule type="endsWith" dxfId="5125" priority="6303" operator="endsWith" text="x">
      <formula>RIGHT(E403,LEN("x"))="x"</formula>
    </cfRule>
  </conditionalFormatting>
  <conditionalFormatting sqref="A499:B500 D499:D501 C501:E501 F499:G501 A501">
    <cfRule type="endsWith" dxfId="5124" priority="6351" operator="endsWith" text="x">
      <formula>RIGHT(A499,LEN("x"))="x"</formula>
    </cfRule>
  </conditionalFormatting>
  <conditionalFormatting sqref="B386">
    <cfRule type="endsWith" dxfId="5123" priority="5648" operator="endsWith" text="x">
      <formula>RIGHT(B386,LEN("x"))="x"</formula>
    </cfRule>
  </conditionalFormatting>
  <conditionalFormatting sqref="B387">
    <cfRule type="endsWith" dxfId="5122" priority="5647" operator="endsWith" text="x">
      <formula>RIGHT(B387,LEN("x"))="x"</formula>
    </cfRule>
  </conditionalFormatting>
  <conditionalFormatting sqref="C499">
    <cfRule type="endsWith" dxfId="5121" priority="6348" operator="endsWith" text="x">
      <formula>RIGHT(C499,LEN("x"))="x"</formula>
    </cfRule>
  </conditionalFormatting>
  <conditionalFormatting sqref="C501">
    <cfRule type="endsWith" dxfId="5120" priority="6346" operator="endsWith" text="x">
      <formula>RIGHT(C501,LEN("x"))="x"</formula>
    </cfRule>
  </conditionalFormatting>
  <conditionalFormatting sqref="E500">
    <cfRule type="endsWith" dxfId="5119" priority="6343" operator="endsWith" text="x">
      <formula>RIGHT(E500,LEN("x"))="x"</formula>
    </cfRule>
  </conditionalFormatting>
  <conditionalFormatting sqref="G501">
    <cfRule type="endsWith" dxfId="5118" priority="6340" operator="endsWith" text="x">
      <formula>RIGHT(G501,LEN("x"))="x"</formula>
    </cfRule>
  </conditionalFormatting>
  <conditionalFormatting sqref="F330">
    <cfRule type="endsWith" dxfId="5117" priority="6034" operator="endsWith" text="x">
      <formula>RIGHT(F330,LEN("x"))="x"</formula>
    </cfRule>
  </conditionalFormatting>
  <conditionalFormatting sqref="F331">
    <cfRule type="endsWith" dxfId="5116" priority="6033" operator="endsWith" text="x">
      <formula>RIGHT(F331,LEN("x"))="x"</formula>
    </cfRule>
  </conditionalFormatting>
  <conditionalFormatting sqref="G405">
    <cfRule type="endsWith" dxfId="5115" priority="6330" operator="endsWith" text="x">
      <formula>RIGHT(G405,LEN("x"))="x"</formula>
    </cfRule>
  </conditionalFormatting>
  <conditionalFormatting sqref="A493:B493 D493:D495 F493:G495 B494">
    <cfRule type="endsWith" dxfId="5114" priority="6329" operator="endsWith" text="x">
      <formula>RIGHT(A493,LEN("x"))="x"</formula>
    </cfRule>
  </conditionalFormatting>
  <conditionalFormatting sqref="G495">
    <cfRule type="endsWith" dxfId="5113" priority="6320" operator="endsWith" text="x">
      <formula>RIGHT(G495,LEN("x"))="x"</formula>
    </cfRule>
  </conditionalFormatting>
  <conditionalFormatting sqref="A463:B463 D463:D465 F463:G465 B464">
    <cfRule type="endsWith" dxfId="5112" priority="6319" operator="endsWith" text="x">
      <formula>RIGHT(A463,LEN("x"))="x"</formula>
    </cfRule>
  </conditionalFormatting>
  <conditionalFormatting sqref="G465">
    <cfRule type="endsWith" dxfId="5111" priority="6310" operator="endsWith" text="x">
      <formula>RIGHT(G465,LEN("x"))="x"</formula>
    </cfRule>
  </conditionalFormatting>
  <conditionalFormatting sqref="C493">
    <cfRule type="endsWith" dxfId="5110" priority="6309" operator="endsWith" text="x">
      <formula>RIGHT(C493,LEN("x"))="x"</formula>
    </cfRule>
  </conditionalFormatting>
  <conditionalFormatting sqref="C494">
    <cfRule type="endsWith" dxfId="5109" priority="6308" operator="endsWith" text="x">
      <formula>RIGHT(C494,LEN("x"))="x"</formula>
    </cfRule>
  </conditionalFormatting>
  <conditionalFormatting sqref="C495">
    <cfRule type="endsWith" dxfId="5108" priority="6307" operator="endsWith" text="x">
      <formula>RIGHT(C495,LEN("x"))="x"</formula>
    </cfRule>
  </conditionalFormatting>
  <conditionalFormatting sqref="C464">
    <cfRule type="endsWith" dxfId="5107" priority="6288" operator="endsWith" text="x">
      <formula>RIGHT(C464,LEN("x"))="x"</formula>
    </cfRule>
  </conditionalFormatting>
  <conditionalFormatting sqref="G471">
    <cfRule type="endsWith" dxfId="5106" priority="6277" operator="endsWith" text="x">
      <formula>RIGHT(G471,LEN("x"))="x"</formula>
    </cfRule>
  </conditionalFormatting>
  <conditionalFormatting sqref="A470:A471">
    <cfRule type="endsWith" dxfId="5105" priority="6276" operator="endsWith" text="x">
      <formula>RIGHT(A470,LEN("x"))="x"</formula>
    </cfRule>
  </conditionalFormatting>
  <conditionalFormatting sqref="C469">
    <cfRule type="endsWith" dxfId="5104" priority="6275" operator="endsWith" text="x">
      <formula>RIGHT(C469,LEN("x"))="x"</formula>
    </cfRule>
  </conditionalFormatting>
  <conditionalFormatting sqref="C470">
    <cfRule type="endsWith" dxfId="5103" priority="6274" operator="endsWith" text="x">
      <formula>RIGHT(C470,LEN("x"))="x"</formula>
    </cfRule>
  </conditionalFormatting>
  <conditionalFormatting sqref="C409">
    <cfRule type="endsWith" dxfId="5102" priority="6215" operator="endsWith" text="x">
      <formula>RIGHT(C409,LEN("x"))="x"</formula>
    </cfRule>
  </conditionalFormatting>
  <conditionalFormatting sqref="A487:B487 D487:D489 F487:G489 B488">
    <cfRule type="endsWith" dxfId="5101" priority="6266" operator="endsWith" text="x">
      <formula>RIGHT(A487,LEN("x"))="x"</formula>
    </cfRule>
  </conditionalFormatting>
  <conditionalFormatting sqref="E486">
    <cfRule type="endsWith" dxfId="5100" priority="6267" operator="endsWith" text="x">
      <formula>RIGHT(E486,LEN("x"))="x"</formula>
    </cfRule>
  </conditionalFormatting>
  <conditionalFormatting sqref="C447">
    <cfRule type="endsWith" dxfId="5099" priority="6141" operator="endsWith" text="x">
      <formula>RIGHT(C447,LEN("x"))="x"</formula>
    </cfRule>
  </conditionalFormatting>
  <conditionalFormatting sqref="G411">
    <cfRule type="endsWith" dxfId="5098" priority="6217" operator="endsWith" text="x">
      <formula>RIGHT(G411,LEN("x"))="x"</formula>
    </cfRule>
  </conditionalFormatting>
  <conditionalFormatting sqref="C445">
    <cfRule type="endsWith" dxfId="5097" priority="6144" operator="endsWith" text="x">
      <formula>RIGHT(C445,LEN("x"))="x"</formula>
    </cfRule>
  </conditionalFormatting>
  <conditionalFormatting sqref="A410:A411">
    <cfRule type="endsWith" dxfId="5096" priority="6216" operator="endsWith" text="x">
      <formula>RIGHT(A410,LEN("x"))="x"</formula>
    </cfRule>
  </conditionalFormatting>
  <conditionalFormatting sqref="G489">
    <cfRule type="endsWith" dxfId="5095" priority="6263" operator="endsWith" text="x">
      <formula>RIGHT(G489,LEN("x"))="x"</formula>
    </cfRule>
  </conditionalFormatting>
  <conditionalFormatting sqref="A488:A489">
    <cfRule type="endsWith" dxfId="5094" priority="6262" operator="endsWith" text="x">
      <formula>RIGHT(A488,LEN("x"))="x"</formula>
    </cfRule>
  </conditionalFormatting>
  <conditionalFormatting sqref="C411">
    <cfRule type="endsWith" dxfId="5093" priority="6213" operator="endsWith" text="x">
      <formula>RIGHT(C411,LEN("x"))="x"</formula>
    </cfRule>
  </conditionalFormatting>
  <conditionalFormatting sqref="C410">
    <cfRule type="endsWith" dxfId="5092" priority="6214" operator="endsWith" text="x">
      <formula>RIGHT(C410,LEN("x"))="x"</formula>
    </cfRule>
  </conditionalFormatting>
  <conditionalFormatting sqref="C487">
    <cfRule type="endsWith" dxfId="5091" priority="6255" operator="endsWith" text="x">
      <formula>RIGHT(C487,LEN("x"))="x"</formula>
    </cfRule>
  </conditionalFormatting>
  <conditionalFormatting sqref="C487">
    <cfRule type="endsWith" dxfId="5090" priority="6254" operator="endsWith" text="x">
      <formula>RIGHT(C487,LEN("x"))="x"</formula>
    </cfRule>
  </conditionalFormatting>
  <conditionalFormatting sqref="C488">
    <cfRule type="endsWith" dxfId="5089" priority="6253" operator="endsWith" text="x">
      <formula>RIGHT(C488,LEN("x"))="x"</formula>
    </cfRule>
  </conditionalFormatting>
  <conditionalFormatting sqref="C488">
    <cfRule type="endsWith" dxfId="5088" priority="6252" operator="endsWith" text="x">
      <formula>RIGHT(C488,LEN("x"))="x"</formula>
    </cfRule>
  </conditionalFormatting>
  <conditionalFormatting sqref="C489">
    <cfRule type="endsWith" dxfId="5087" priority="6251" operator="endsWith" text="x">
      <formula>RIGHT(C489,LEN("x"))="x"</formula>
    </cfRule>
  </conditionalFormatting>
  <conditionalFormatting sqref="C489">
    <cfRule type="endsWith" dxfId="5086" priority="6250" operator="endsWith" text="x">
      <formula>RIGHT(C489,LEN("x"))="x"</formula>
    </cfRule>
  </conditionalFormatting>
  <conditionalFormatting sqref="E487">
    <cfRule type="endsWith" dxfId="5085" priority="6249" operator="endsWith" text="x">
      <formula>RIGHT(E487,LEN("x"))="x"</formula>
    </cfRule>
  </conditionalFormatting>
  <conditionalFormatting sqref="E487">
    <cfRule type="endsWith" dxfId="5084" priority="6248" operator="endsWith" text="x">
      <formula>RIGHT(E487,LEN("x"))="x"</formula>
    </cfRule>
  </conditionalFormatting>
  <conditionalFormatting sqref="E488">
    <cfRule type="endsWith" dxfId="5083" priority="6247" operator="endsWith" text="x">
      <formula>RIGHT(E488,LEN("x"))="x"</formula>
    </cfRule>
  </conditionalFormatting>
  <conditionalFormatting sqref="E488">
    <cfRule type="endsWith" dxfId="5082" priority="6246" operator="endsWith" text="x">
      <formula>RIGHT(E488,LEN("x"))="x"</formula>
    </cfRule>
  </conditionalFormatting>
  <conditionalFormatting sqref="E489">
    <cfRule type="endsWith" dxfId="5081" priority="6245" operator="endsWith" text="x">
      <formula>RIGHT(E489,LEN("x"))="x"</formula>
    </cfRule>
  </conditionalFormatting>
  <conditionalFormatting sqref="E489">
    <cfRule type="endsWith" dxfId="5080" priority="6244" operator="endsWith" text="x">
      <formula>RIGHT(E489,LEN("x"))="x"</formula>
    </cfRule>
  </conditionalFormatting>
  <conditionalFormatting sqref="A426:G426">
    <cfRule type="endsWith" dxfId="5079" priority="6243" operator="endsWith" text="x">
      <formula>RIGHT(A426,LEN("x"))="x"</formula>
    </cfRule>
  </conditionalFormatting>
  <conditionalFormatting sqref="A427:B427 D427:D429 F427:G429 B428">
    <cfRule type="endsWith" dxfId="5078" priority="6240" operator="endsWith" text="x">
      <formula>RIGHT(A427,LEN("x"))="x"</formula>
    </cfRule>
  </conditionalFormatting>
  <conditionalFormatting sqref="E426">
    <cfRule type="endsWith" dxfId="5077" priority="6241" operator="endsWith" text="x">
      <formula>RIGHT(E426,LEN("x"))="x"</formula>
    </cfRule>
  </conditionalFormatting>
  <conditionalFormatting sqref="C269">
    <cfRule type="endsWith" dxfId="5076" priority="5994" operator="endsWith" text="x">
      <formula>RIGHT(C269,LEN("x"))="x"</formula>
    </cfRule>
  </conditionalFormatting>
  <conditionalFormatting sqref="C269">
    <cfRule type="endsWith" dxfId="5075" priority="5995" operator="endsWith" text="x">
      <formula>RIGHT(C269,LEN("x"))="x"</formula>
    </cfRule>
  </conditionalFormatting>
  <conditionalFormatting sqref="C267">
    <cfRule type="endsWith" dxfId="5074" priority="5998" operator="endsWith" text="x">
      <formula>RIGHT(C267,LEN("x"))="x"</formula>
    </cfRule>
  </conditionalFormatting>
  <conditionalFormatting sqref="C428">
    <cfRule type="endsWith" dxfId="5073" priority="6233" operator="endsWith" text="x">
      <formula>RIGHT(C428,LEN("x"))="x"</formula>
    </cfRule>
  </conditionalFormatting>
  <conditionalFormatting sqref="C429">
    <cfRule type="endsWith" dxfId="5072" priority="6231" operator="endsWith" text="x">
      <formula>RIGHT(C429,LEN("x"))="x"</formula>
    </cfRule>
  </conditionalFormatting>
  <conditionalFormatting sqref="E428">
    <cfRule type="endsWith" dxfId="5071" priority="6227" operator="endsWith" text="x">
      <formula>RIGHT(E428,LEN("x"))="x"</formula>
    </cfRule>
  </conditionalFormatting>
  <conditionalFormatting sqref="A408:G408">
    <cfRule type="endsWith" dxfId="5070" priority="6223" operator="endsWith" text="x">
      <formula>RIGHT(A408,LEN("x"))="x"</formula>
    </cfRule>
  </conditionalFormatting>
  <conditionalFormatting sqref="E411">
    <cfRule type="endsWith" dxfId="5069" priority="6210" operator="endsWith" text="x">
      <formula>RIGHT(E411,LEN("x"))="x"</formula>
    </cfRule>
  </conditionalFormatting>
  <conditionalFormatting sqref="A409:B409 D409:D411 B410:B411 F409:G411">
    <cfRule type="endsWith" dxfId="5068" priority="6220" operator="endsWith" text="x">
      <formula>RIGHT(A409,LEN("x"))="x"</formula>
    </cfRule>
  </conditionalFormatting>
  <conditionalFormatting sqref="E408">
    <cfRule type="endsWith" dxfId="5067" priority="6221" operator="endsWith" text="x">
      <formula>RIGHT(E408,LEN("x"))="x"</formula>
    </cfRule>
  </conditionalFormatting>
  <conditionalFormatting sqref="E410">
    <cfRule type="endsWith" dxfId="5066" priority="6211" operator="endsWith" text="x">
      <formula>RIGHT(E410,LEN("x"))="x"</formula>
    </cfRule>
  </conditionalFormatting>
  <conditionalFormatting sqref="E315">
    <cfRule type="endsWith" dxfId="5065" priority="5933" operator="endsWith" text="x">
      <formula>RIGHT(E315,LEN("x"))="x"</formula>
    </cfRule>
  </conditionalFormatting>
  <conditionalFormatting sqref="E409">
    <cfRule type="endsWith" dxfId="5064" priority="6212" operator="endsWith" text="x">
      <formula>RIGHT(E409,LEN("x"))="x"</formula>
    </cfRule>
  </conditionalFormatting>
  <conditionalFormatting sqref="E470">
    <cfRule type="endsWith" dxfId="5063" priority="6209" operator="endsWith" text="x">
      <formula>RIGHT(E470,LEN("x"))="x"</formula>
    </cfRule>
  </conditionalFormatting>
  <conditionalFormatting sqref="E471">
    <cfRule type="endsWith" dxfId="5062" priority="6208" operator="endsWith" text="x">
      <formula>RIGHT(E471,LEN("x"))="x"</formula>
    </cfRule>
  </conditionalFormatting>
  <conditionalFormatting sqref="E435">
    <cfRule type="endsWith" dxfId="5061" priority="6180" operator="endsWith" text="x">
      <formula>RIGHT(E435,LEN("x"))="x"</formula>
    </cfRule>
  </conditionalFormatting>
  <conditionalFormatting sqref="E415">
    <cfRule type="endsWith" dxfId="5060" priority="6197" operator="endsWith" text="x">
      <formula>RIGHT(E415,LEN("x"))="x"</formula>
    </cfRule>
  </conditionalFormatting>
  <conditionalFormatting sqref="A416:A417">
    <cfRule type="endsWith" dxfId="5059" priority="6194" operator="endsWith" text="x">
      <formula>RIGHT(A416,LEN("x"))="x"</formula>
    </cfRule>
  </conditionalFormatting>
  <conditionalFormatting sqref="E417">
    <cfRule type="endsWith" dxfId="5058" priority="6195" operator="endsWith" text="x">
      <formula>RIGHT(E417,LEN("x"))="x"</formula>
    </cfRule>
  </conditionalFormatting>
  <conditionalFormatting sqref="A414:G414">
    <cfRule type="endsWith" dxfId="5057" priority="6207" operator="endsWith" text="x">
      <formula>RIGHT(A414,LEN("x"))="x"</formula>
    </cfRule>
  </conditionalFormatting>
  <conditionalFormatting sqref="E316">
    <cfRule type="endsWith" dxfId="5056" priority="5932" operator="endsWith" text="x">
      <formula>RIGHT(E316,LEN("x"))="x"</formula>
    </cfRule>
  </conditionalFormatting>
  <conditionalFormatting sqref="E414">
    <cfRule type="endsWith" dxfId="5055" priority="6205" operator="endsWith" text="x">
      <formula>RIGHT(E414,LEN("x"))="x"</formula>
    </cfRule>
  </conditionalFormatting>
  <conditionalFormatting sqref="E416">
    <cfRule type="endsWith" dxfId="5054" priority="6196" operator="endsWith" text="x">
      <formula>RIGHT(E416,LEN("x"))="x"</formula>
    </cfRule>
  </conditionalFormatting>
  <conditionalFormatting sqref="A415:B415 D415:D417 F415:G417 B416:B417">
    <cfRule type="endsWith" dxfId="5053" priority="6204" operator="endsWith" text="x">
      <formula>RIGHT(A415,LEN("x"))="x"</formula>
    </cfRule>
  </conditionalFormatting>
  <conditionalFormatting sqref="G417">
    <cfRule type="endsWith" dxfId="5052" priority="6201" operator="endsWith" text="x">
      <formula>RIGHT(G417,LEN("x"))="x"</formula>
    </cfRule>
  </conditionalFormatting>
  <conditionalFormatting sqref="C415">
    <cfRule type="endsWith" dxfId="5051" priority="6200" operator="endsWith" text="x">
      <formula>RIGHT(C415,LEN("x"))="x"</formula>
    </cfRule>
  </conditionalFormatting>
  <conditionalFormatting sqref="C416">
    <cfRule type="endsWith" dxfId="5050" priority="6199" operator="endsWith" text="x">
      <formula>RIGHT(C416,LEN("x"))="x"</formula>
    </cfRule>
  </conditionalFormatting>
  <conditionalFormatting sqref="C417">
    <cfRule type="endsWith" dxfId="5049" priority="6198" operator="endsWith" text="x">
      <formula>RIGHT(C417,LEN("x"))="x"</formula>
    </cfRule>
  </conditionalFormatting>
  <conditionalFormatting sqref="A434:A435">
    <cfRule type="endsWith" dxfId="5048" priority="6186" operator="endsWith" text="x">
      <formula>RIGHT(A434,LEN("x"))="x"</formula>
    </cfRule>
  </conditionalFormatting>
  <conditionalFormatting sqref="C433">
    <cfRule type="endsWith" dxfId="5047" priority="6185" operator="endsWith" text="x">
      <formula>RIGHT(C433,LEN("x"))="x"</formula>
    </cfRule>
  </conditionalFormatting>
  <conditionalFormatting sqref="A432:G432">
    <cfRule type="endsWith" dxfId="5046" priority="6193" operator="endsWith" text="x">
      <formula>RIGHT(A432,LEN("x"))="x"</formula>
    </cfRule>
  </conditionalFormatting>
  <conditionalFormatting sqref="G270">
    <cfRule type="endsWith" dxfId="5045" priority="5963" operator="endsWith" text="x">
      <formula>RIGHT(G270,LEN("x"))="x"</formula>
    </cfRule>
  </conditionalFormatting>
  <conditionalFormatting sqref="E432">
    <cfRule type="endsWith" dxfId="5044" priority="6191" operator="endsWith" text="x">
      <formula>RIGHT(E432,LEN("x"))="x"</formula>
    </cfRule>
  </conditionalFormatting>
  <conditionalFormatting sqref="C435">
    <cfRule type="endsWith" dxfId="5043" priority="6183" operator="endsWith" text="x">
      <formula>RIGHT(C435,LEN("x"))="x"</formula>
    </cfRule>
  </conditionalFormatting>
  <conditionalFormatting sqref="E433">
    <cfRule type="endsWith" dxfId="5042" priority="6182" operator="endsWith" text="x">
      <formula>RIGHT(E433,LEN("x"))="x"</formula>
    </cfRule>
  </conditionalFormatting>
  <conditionalFormatting sqref="E434">
    <cfRule type="endsWith" dxfId="5041" priority="6181" operator="endsWith" text="x">
      <formula>RIGHT(E434,LEN("x"))="x"</formula>
    </cfRule>
  </conditionalFormatting>
  <conditionalFormatting sqref="A433:B433 D433:D435 F433:G435 B434">
    <cfRule type="endsWith" dxfId="5040" priority="6190" operator="endsWith" text="x">
      <formula>RIGHT(A433,LEN("x"))="x"</formula>
    </cfRule>
  </conditionalFormatting>
  <conditionalFormatting sqref="B269">
    <cfRule type="endsWith" dxfId="5039" priority="5960" operator="endsWith" text="x">
      <formula>RIGHT(B269,LEN("x"))="x"</formula>
    </cfRule>
  </conditionalFormatting>
  <conditionalFormatting sqref="B270">
    <cfRule type="endsWith" dxfId="5038" priority="5959" operator="endsWith" text="x">
      <formula>RIGHT(B270,LEN("x"))="x"</formula>
    </cfRule>
  </conditionalFormatting>
  <conditionalFormatting sqref="G435">
    <cfRule type="endsWith" dxfId="5037" priority="6187" operator="endsWith" text="x">
      <formula>RIGHT(G435,LEN("x"))="x"</formula>
    </cfRule>
  </conditionalFormatting>
  <conditionalFormatting sqref="C434">
    <cfRule type="endsWith" dxfId="5036" priority="6184" operator="endsWith" text="x">
      <formula>RIGHT(C434,LEN("x"))="x"</formula>
    </cfRule>
  </conditionalFormatting>
  <conditionalFormatting sqref="A438:G438">
    <cfRule type="endsWith" dxfId="5035" priority="6179" operator="endsWith" text="x">
      <formula>RIGHT(A438,LEN("x"))="x"</formula>
    </cfRule>
  </conditionalFormatting>
  <conditionalFormatting sqref="A439:B439 D439:D441 B440 F439:G441">
    <cfRule type="endsWith" dxfId="5034" priority="6176" operator="endsWith" text="x">
      <formula>RIGHT(A439,LEN("x"))="x"</formula>
    </cfRule>
  </conditionalFormatting>
  <conditionalFormatting sqref="E438">
    <cfRule type="endsWith" dxfId="5033" priority="6177" operator="endsWith" text="x">
      <formula>RIGHT(E438,LEN("x"))="x"</formula>
    </cfRule>
  </conditionalFormatting>
  <conditionalFormatting sqref="B268">
    <cfRule type="endsWith" dxfId="5032" priority="5961" operator="endsWith" text="x">
      <formula>RIGHT(B268,LEN("x"))="x"</formula>
    </cfRule>
  </conditionalFormatting>
  <conditionalFormatting sqref="G268">
    <cfRule type="endsWith" dxfId="5031" priority="5964" operator="endsWith" text="x">
      <formula>RIGHT(G268,LEN("x"))="x"</formula>
    </cfRule>
  </conditionalFormatting>
  <conditionalFormatting sqref="G441">
    <cfRule type="endsWith" dxfId="5030" priority="6173" operator="endsWith" text="x">
      <formula>RIGHT(G441,LEN("x"))="x"</formula>
    </cfRule>
  </conditionalFormatting>
  <conditionalFormatting sqref="A440:A441">
    <cfRule type="endsWith" dxfId="5029" priority="6172" operator="endsWith" text="x">
      <formula>RIGHT(A440,LEN("x"))="x"</formula>
    </cfRule>
  </conditionalFormatting>
  <conditionalFormatting sqref="C439">
    <cfRule type="endsWith" dxfId="5028" priority="6171" operator="endsWith" text="x">
      <formula>RIGHT(C439,LEN("x"))="x"</formula>
    </cfRule>
  </conditionalFormatting>
  <conditionalFormatting sqref="C439">
    <cfRule type="endsWith" dxfId="5027" priority="6170" operator="endsWith" text="x">
      <formula>RIGHT(C439,LEN("x"))="x"</formula>
    </cfRule>
  </conditionalFormatting>
  <conditionalFormatting sqref="C440">
    <cfRule type="endsWith" dxfId="5026" priority="6169" operator="endsWith" text="x">
      <formula>RIGHT(C440,LEN("x"))="x"</formula>
    </cfRule>
  </conditionalFormatting>
  <conditionalFormatting sqref="C440">
    <cfRule type="endsWith" dxfId="5025" priority="6168" operator="endsWith" text="x">
      <formula>RIGHT(C440,LEN("x"))="x"</formula>
    </cfRule>
  </conditionalFormatting>
  <conditionalFormatting sqref="C441">
    <cfRule type="endsWith" dxfId="5024" priority="6167" operator="endsWith" text="x">
      <formula>RIGHT(C441,LEN("x"))="x"</formula>
    </cfRule>
  </conditionalFormatting>
  <conditionalFormatting sqref="C441">
    <cfRule type="endsWith" dxfId="5023" priority="6166" operator="endsWith" text="x">
      <formula>RIGHT(C441,LEN("x"))="x"</formula>
    </cfRule>
  </conditionalFormatting>
  <conditionalFormatting sqref="E457">
    <cfRule type="endsWith" dxfId="5022" priority="6099" operator="endsWith" text="x">
      <formula>RIGHT(E457,LEN("x"))="x"</formula>
    </cfRule>
  </conditionalFormatting>
  <conditionalFormatting sqref="E457">
    <cfRule type="endsWith" dxfId="5021" priority="6098" operator="endsWith" text="x">
      <formula>RIGHT(E457,LEN("x"))="x"</formula>
    </cfRule>
  </conditionalFormatting>
  <conditionalFormatting sqref="E439">
    <cfRule type="endsWith" dxfId="5020" priority="6159" operator="endsWith" text="x">
      <formula>RIGHT(E439,LEN("x"))="x"</formula>
    </cfRule>
  </conditionalFormatting>
  <conditionalFormatting sqref="E439">
    <cfRule type="endsWith" dxfId="5019" priority="6158" operator="endsWith" text="x">
      <formula>RIGHT(E439,LEN("x"))="x"</formula>
    </cfRule>
  </conditionalFormatting>
  <conditionalFormatting sqref="E440">
    <cfRule type="endsWith" dxfId="5018" priority="6157" operator="endsWith" text="x">
      <formula>RIGHT(E440,LEN("x"))="x"</formula>
    </cfRule>
  </conditionalFormatting>
  <conditionalFormatting sqref="E440">
    <cfRule type="endsWith" dxfId="5017" priority="6156" operator="endsWith" text="x">
      <formula>RIGHT(E440,LEN("x"))="x"</formula>
    </cfRule>
  </conditionalFormatting>
  <conditionalFormatting sqref="E441">
    <cfRule type="endsWith" dxfId="5016" priority="6155" operator="endsWith" text="x">
      <formula>RIGHT(E441,LEN("x"))="x"</formula>
    </cfRule>
  </conditionalFormatting>
  <conditionalFormatting sqref="E441">
    <cfRule type="endsWith" dxfId="5015" priority="6154" operator="endsWith" text="x">
      <formula>RIGHT(E441,LEN("x"))="x"</formula>
    </cfRule>
  </conditionalFormatting>
  <conditionalFormatting sqref="A444:G444">
    <cfRule type="endsWith" dxfId="5014" priority="6153" operator="endsWith" text="x">
      <formula>RIGHT(A444,LEN("x"))="x"</formula>
    </cfRule>
  </conditionalFormatting>
  <conditionalFormatting sqref="A445:B445 D445:D447 F445:G447 B446">
    <cfRule type="endsWith" dxfId="5013" priority="6150" operator="endsWith" text="x">
      <formula>RIGHT(A445,LEN("x"))="x"</formula>
    </cfRule>
  </conditionalFormatting>
  <conditionalFormatting sqref="E444">
    <cfRule type="endsWith" dxfId="5012" priority="6151" operator="endsWith" text="x">
      <formula>RIGHT(E444,LEN("x"))="x"</formula>
    </cfRule>
  </conditionalFormatting>
  <conditionalFormatting sqref="F316">
    <cfRule type="endsWith" dxfId="5011" priority="5949" operator="endsWith" text="x">
      <formula>RIGHT(F316,LEN("x"))="x"</formula>
    </cfRule>
  </conditionalFormatting>
  <conditionalFormatting sqref="B316 D316 G316">
    <cfRule type="endsWith" dxfId="5010" priority="5950" operator="endsWith" text="x">
      <formula>RIGHT(B316,LEN("x"))="x"</formula>
    </cfRule>
  </conditionalFormatting>
  <conditionalFormatting sqref="F313">
    <cfRule type="endsWith" dxfId="5009" priority="5953" operator="endsWith" text="x">
      <formula>RIGHT(F313,LEN("x"))="x"</formula>
    </cfRule>
  </conditionalFormatting>
  <conditionalFormatting sqref="G447">
    <cfRule type="endsWith" dxfId="5008" priority="6147" operator="endsWith" text="x">
      <formula>RIGHT(G447,LEN("x"))="x"</formula>
    </cfRule>
  </conditionalFormatting>
  <conditionalFormatting sqref="A446:A447">
    <cfRule type="endsWith" dxfId="5007" priority="6146" operator="endsWith" text="x">
      <formula>RIGHT(A446,LEN("x"))="x"</formula>
    </cfRule>
  </conditionalFormatting>
  <conditionalFormatting sqref="C445">
    <cfRule type="endsWith" dxfId="5006" priority="6145" operator="endsWith" text="x">
      <formula>RIGHT(C445,LEN("x"))="x"</formula>
    </cfRule>
  </conditionalFormatting>
  <conditionalFormatting sqref="C446">
    <cfRule type="endsWith" dxfId="5005" priority="6142" operator="endsWith" text="x">
      <formula>RIGHT(C446,LEN("x"))="x"</formula>
    </cfRule>
  </conditionalFormatting>
  <conditionalFormatting sqref="E445">
    <cfRule type="endsWith" dxfId="5004" priority="6138" operator="endsWith" text="x">
      <formula>RIGHT(E445,LEN("x"))="x"</formula>
    </cfRule>
  </conditionalFormatting>
  <conditionalFormatting sqref="E446">
    <cfRule type="endsWith" dxfId="5003" priority="6137" operator="endsWith" text="x">
      <formula>RIGHT(E446,LEN("x"))="x"</formula>
    </cfRule>
  </conditionalFormatting>
  <conditionalFormatting sqref="E446">
    <cfRule type="endsWith" dxfId="5002" priority="6136" operator="endsWith" text="x">
      <formula>RIGHT(E446,LEN("x"))="x"</formula>
    </cfRule>
  </conditionalFormatting>
  <conditionalFormatting sqref="E447">
    <cfRule type="endsWith" dxfId="5001" priority="6135" operator="endsWith" text="x">
      <formula>RIGHT(E447,LEN("x"))="x"</formula>
    </cfRule>
  </conditionalFormatting>
  <conditionalFormatting sqref="E447">
    <cfRule type="endsWith" dxfId="5000" priority="6134" operator="endsWith" text="x">
      <formula>RIGHT(E447,LEN("x"))="x"</formula>
    </cfRule>
  </conditionalFormatting>
  <conditionalFormatting sqref="A450:G450">
    <cfRule type="endsWith" dxfId="4999" priority="6133" operator="endsWith" text="x">
      <formula>RIGHT(A450,LEN("x"))="x"</formula>
    </cfRule>
  </conditionalFormatting>
  <conditionalFormatting sqref="A451:B451 D451:D453 F451:G453 B452">
    <cfRule type="endsWith" dxfId="4998" priority="6130" operator="endsWith" text="x">
      <formula>RIGHT(A451,LEN("x"))="x"</formula>
    </cfRule>
  </conditionalFormatting>
  <conditionalFormatting sqref="E450">
    <cfRule type="endsWith" dxfId="4997" priority="6131" operator="endsWith" text="x">
      <formula>RIGHT(E450,LEN("x"))="x"</formula>
    </cfRule>
  </conditionalFormatting>
  <conditionalFormatting sqref="C314">
    <cfRule type="endsWith" dxfId="4996" priority="5944" operator="endsWith" text="x">
      <formula>RIGHT(C314,LEN("x"))="x"</formula>
    </cfRule>
  </conditionalFormatting>
  <conditionalFormatting sqref="C314">
    <cfRule type="endsWith" dxfId="4995" priority="5945" operator="endsWith" text="x">
      <formula>RIGHT(C314,LEN("x"))="x"</formula>
    </cfRule>
  </conditionalFormatting>
  <conditionalFormatting sqref="E312">
    <cfRule type="endsWith" dxfId="4994" priority="5948" operator="endsWith" text="x">
      <formula>RIGHT(E312,LEN("x"))="x"</formula>
    </cfRule>
  </conditionalFormatting>
  <conditionalFormatting sqref="G453">
    <cfRule type="endsWith" dxfId="4993" priority="6127" operator="endsWith" text="x">
      <formula>RIGHT(G453,LEN("x"))="x"</formula>
    </cfRule>
  </conditionalFormatting>
  <conditionalFormatting sqref="A452:A453">
    <cfRule type="endsWith" dxfId="4992" priority="6126" operator="endsWith" text="x">
      <formula>RIGHT(A452,LEN("x"))="x"</formula>
    </cfRule>
  </conditionalFormatting>
  <conditionalFormatting sqref="C451">
    <cfRule type="endsWith" dxfId="4991" priority="6125" operator="endsWith" text="x">
      <formula>RIGHT(C451,LEN("x"))="x"</formula>
    </cfRule>
  </conditionalFormatting>
  <conditionalFormatting sqref="C451">
    <cfRule type="endsWith" dxfId="4990" priority="6124" operator="endsWith" text="x">
      <formula>RIGHT(C451,LEN("x"))="x"</formula>
    </cfRule>
  </conditionalFormatting>
  <conditionalFormatting sqref="C452">
    <cfRule type="endsWith" dxfId="4989" priority="6123" operator="endsWith" text="x">
      <formula>RIGHT(C452,LEN("x"))="x"</formula>
    </cfRule>
  </conditionalFormatting>
  <conditionalFormatting sqref="C452">
    <cfRule type="endsWith" dxfId="4988" priority="6122" operator="endsWith" text="x">
      <formula>RIGHT(C452,LEN("x"))="x"</formula>
    </cfRule>
  </conditionalFormatting>
  <conditionalFormatting sqref="C453">
    <cfRule type="endsWith" dxfId="4987" priority="6121" operator="endsWith" text="x">
      <formula>RIGHT(C453,LEN("x"))="x"</formula>
    </cfRule>
  </conditionalFormatting>
  <conditionalFormatting sqref="C453">
    <cfRule type="endsWith" dxfId="4986" priority="6120" operator="endsWith" text="x">
      <formula>RIGHT(C453,LEN("x"))="x"</formula>
    </cfRule>
  </conditionalFormatting>
  <conditionalFormatting sqref="E451">
    <cfRule type="endsWith" dxfId="4985" priority="6119" operator="endsWith" text="x">
      <formula>RIGHT(E451,LEN("x"))="x"</formula>
    </cfRule>
  </conditionalFormatting>
  <conditionalFormatting sqref="E451">
    <cfRule type="endsWith" dxfId="4984" priority="6118" operator="endsWith" text="x">
      <formula>RIGHT(E451,LEN("x"))="x"</formula>
    </cfRule>
  </conditionalFormatting>
  <conditionalFormatting sqref="E452">
    <cfRule type="endsWith" dxfId="4983" priority="6117" operator="endsWith" text="x">
      <formula>RIGHT(E452,LEN("x"))="x"</formula>
    </cfRule>
  </conditionalFormatting>
  <conditionalFormatting sqref="E452">
    <cfRule type="endsWith" dxfId="4982" priority="6116" operator="endsWith" text="x">
      <formula>RIGHT(E452,LEN("x"))="x"</formula>
    </cfRule>
  </conditionalFormatting>
  <conditionalFormatting sqref="E453">
    <cfRule type="endsWith" dxfId="4981" priority="6115" operator="endsWith" text="x">
      <formula>RIGHT(E453,LEN("x"))="x"</formula>
    </cfRule>
  </conditionalFormatting>
  <conditionalFormatting sqref="E453">
    <cfRule type="endsWith" dxfId="4980" priority="6114" operator="endsWith" text="x">
      <formula>RIGHT(E453,LEN("x"))="x"</formula>
    </cfRule>
  </conditionalFormatting>
  <conditionalFormatting sqref="A456:G456">
    <cfRule type="endsWith" dxfId="4979" priority="6113" operator="endsWith" text="x">
      <formula>RIGHT(A456,LEN("x"))="x"</formula>
    </cfRule>
  </conditionalFormatting>
  <conditionalFormatting sqref="A457:B457 D457:D459 F457:G459 B458">
    <cfRule type="endsWith" dxfId="4978" priority="6110" operator="endsWith" text="x">
      <formula>RIGHT(A457,LEN("x"))="x"</formula>
    </cfRule>
  </conditionalFormatting>
  <conditionalFormatting sqref="E456">
    <cfRule type="endsWith" dxfId="4977" priority="6111" operator="endsWith" text="x">
      <formula>RIGHT(E456,LEN("x"))="x"</formula>
    </cfRule>
  </conditionalFormatting>
  <conditionalFormatting sqref="C317">
    <cfRule type="endsWith" dxfId="4976" priority="5939" operator="endsWith" text="x">
      <formula>RIGHT(C317,LEN("x"))="x"</formula>
    </cfRule>
  </conditionalFormatting>
  <conditionalFormatting sqref="C316">
    <cfRule type="endsWith" dxfId="4975" priority="5940" operator="endsWith" text="x">
      <formula>RIGHT(C316,LEN("x"))="x"</formula>
    </cfRule>
  </conditionalFormatting>
  <conditionalFormatting sqref="C315">
    <cfRule type="endsWith" dxfId="4974" priority="5943" operator="endsWith" text="x">
      <formula>RIGHT(C315,LEN("x"))="x"</formula>
    </cfRule>
  </conditionalFormatting>
  <conditionalFormatting sqref="G459">
    <cfRule type="endsWith" dxfId="4973" priority="6107" operator="endsWith" text="x">
      <formula>RIGHT(G459,LEN("x"))="x"</formula>
    </cfRule>
  </conditionalFormatting>
  <conditionalFormatting sqref="A458:A459">
    <cfRule type="endsWith" dxfId="4972" priority="6106" operator="endsWith" text="x">
      <formula>RIGHT(A458,LEN("x"))="x"</formula>
    </cfRule>
  </conditionalFormatting>
  <conditionalFormatting sqref="C457">
    <cfRule type="endsWith" dxfId="4971" priority="6105" operator="endsWith" text="x">
      <formula>RIGHT(C457,LEN("x"))="x"</formula>
    </cfRule>
  </conditionalFormatting>
  <conditionalFormatting sqref="C457">
    <cfRule type="endsWith" dxfId="4970" priority="6104" operator="endsWith" text="x">
      <formula>RIGHT(C457,LEN("x"))="x"</formula>
    </cfRule>
  </conditionalFormatting>
  <conditionalFormatting sqref="C458">
    <cfRule type="endsWith" dxfId="4969" priority="6103" operator="endsWith" text="x">
      <formula>RIGHT(C458,LEN("x"))="x"</formula>
    </cfRule>
  </conditionalFormatting>
  <conditionalFormatting sqref="C458">
    <cfRule type="endsWith" dxfId="4968" priority="6102" operator="endsWith" text="x">
      <formula>RIGHT(C458,LEN("x"))="x"</formula>
    </cfRule>
  </conditionalFormatting>
  <conditionalFormatting sqref="C459">
    <cfRule type="endsWith" dxfId="4967" priority="6101" operator="endsWith" text="x">
      <formula>RIGHT(C459,LEN("x"))="x"</formula>
    </cfRule>
  </conditionalFormatting>
  <conditionalFormatting sqref="C459">
    <cfRule type="endsWith" dxfId="4966" priority="6100" operator="endsWith" text="x">
      <formula>RIGHT(C459,LEN("x"))="x"</formula>
    </cfRule>
  </conditionalFormatting>
  <conditionalFormatting sqref="E458">
    <cfRule type="endsWith" dxfId="4965" priority="6097" operator="endsWith" text="x">
      <formula>RIGHT(E458,LEN("x"))="x"</formula>
    </cfRule>
  </conditionalFormatting>
  <conditionalFormatting sqref="E458">
    <cfRule type="endsWith" dxfId="4964" priority="6096" operator="endsWith" text="x">
      <formula>RIGHT(E458,LEN("x"))="x"</formula>
    </cfRule>
  </conditionalFormatting>
  <conditionalFormatting sqref="E459">
    <cfRule type="endsWith" dxfId="4963" priority="6095" operator="endsWith" text="x">
      <formula>RIGHT(E459,LEN("x"))="x"</formula>
    </cfRule>
  </conditionalFormatting>
  <conditionalFormatting sqref="E423">
    <cfRule type="endsWith" dxfId="4962" priority="6080" operator="endsWith" text="x">
      <formula>RIGHT(E423,LEN("x"))="x"</formula>
    </cfRule>
  </conditionalFormatting>
  <conditionalFormatting sqref="A422:A423">
    <cfRule type="endsWith" dxfId="4961" priority="6086" operator="endsWith" text="x">
      <formula>RIGHT(A422,LEN("x"))="x"</formula>
    </cfRule>
  </conditionalFormatting>
  <conditionalFormatting sqref="C421">
    <cfRule type="endsWith" dxfId="4960" priority="6085" operator="endsWith" text="x">
      <formula>RIGHT(C421,LEN("x"))="x"</formula>
    </cfRule>
  </conditionalFormatting>
  <conditionalFormatting sqref="A420:G420">
    <cfRule type="endsWith" dxfId="4959" priority="6093" operator="endsWith" text="x">
      <formula>RIGHT(A420,LEN("x"))="x"</formula>
    </cfRule>
  </conditionalFormatting>
  <conditionalFormatting sqref="E420">
    <cfRule type="endsWith" dxfId="4958" priority="6091" operator="endsWith" text="x">
      <formula>RIGHT(E420,LEN("x"))="x"</formula>
    </cfRule>
  </conditionalFormatting>
  <conditionalFormatting sqref="C423">
    <cfRule type="endsWith" dxfId="4957" priority="6083" operator="endsWith" text="x">
      <formula>RIGHT(C423,LEN("x"))="x"</formula>
    </cfRule>
  </conditionalFormatting>
  <conditionalFormatting sqref="E421">
    <cfRule type="endsWith" dxfId="4956" priority="6082" operator="endsWith" text="x">
      <formula>RIGHT(E421,LEN("x"))="x"</formula>
    </cfRule>
  </conditionalFormatting>
  <conditionalFormatting sqref="E422">
    <cfRule type="endsWith" dxfId="4955" priority="6081" operator="endsWith" text="x">
      <formula>RIGHT(E422,LEN("x"))="x"</formula>
    </cfRule>
  </conditionalFormatting>
  <conditionalFormatting sqref="A421:B421 D421:D423 F421:G423 B422:B423">
    <cfRule type="endsWith" dxfId="4954" priority="6090" operator="endsWith" text="x">
      <formula>RIGHT(A421,LEN("x"))="x"</formula>
    </cfRule>
  </conditionalFormatting>
  <conditionalFormatting sqref="G423">
    <cfRule type="endsWith" dxfId="4953" priority="6087" operator="endsWith" text="x">
      <formula>RIGHT(G423,LEN("x"))="x"</formula>
    </cfRule>
  </conditionalFormatting>
  <conditionalFormatting sqref="C422">
    <cfRule type="endsWith" dxfId="4952" priority="6084" operator="endsWith" text="x">
      <formula>RIGHT(C422,LEN("x"))="x"</formula>
    </cfRule>
  </conditionalFormatting>
  <conditionalFormatting sqref="D330">
    <cfRule type="endsWith" dxfId="4951" priority="6059" operator="endsWith" text="x">
      <formula>RIGHT(D330,LEN("x"))="x"</formula>
    </cfRule>
  </conditionalFormatting>
  <conditionalFormatting sqref="D331">
    <cfRule type="endsWith" dxfId="4950" priority="6058" operator="endsWith" text="x">
      <formula>RIGHT(D331,LEN("x"))="x"</formula>
    </cfRule>
  </conditionalFormatting>
  <conditionalFormatting sqref="D332">
    <cfRule type="endsWith" dxfId="4949" priority="6057" operator="endsWith" text="x">
      <formula>RIGHT(D332,LEN("x"))="x"</formula>
    </cfRule>
  </conditionalFormatting>
  <conditionalFormatting sqref="D332">
    <cfRule type="endsWith" dxfId="4948" priority="6056" operator="endsWith" text="x">
      <formula>RIGHT(D332,LEN("x"))="x"</formula>
    </cfRule>
  </conditionalFormatting>
  <conditionalFormatting sqref="D333">
    <cfRule type="endsWith" dxfId="4947" priority="6055" operator="endsWith" text="x">
      <formula>RIGHT(D333,LEN("x"))="x"</formula>
    </cfRule>
  </conditionalFormatting>
  <conditionalFormatting sqref="F329">
    <cfRule type="endsWith" dxfId="4946" priority="6054" operator="endsWith" text="x">
      <formula>RIGHT(F329,LEN("x"))="x"</formula>
    </cfRule>
  </conditionalFormatting>
  <conditionalFormatting sqref="F329">
    <cfRule type="endsWith" dxfId="4945" priority="6053" operator="endsWith" text="x">
      <formula>RIGHT(F329,LEN("x"))="x"</formula>
    </cfRule>
  </conditionalFormatting>
  <conditionalFormatting sqref="F330">
    <cfRule type="endsWith" dxfId="4944" priority="6052" operator="endsWith" text="x">
      <formula>RIGHT(F330,LEN("x"))="x"</formula>
    </cfRule>
  </conditionalFormatting>
  <conditionalFormatting sqref="F330">
    <cfRule type="endsWith" dxfId="4943" priority="6051" operator="endsWith" text="x">
      <formula>RIGHT(F330,LEN("x"))="x"</formula>
    </cfRule>
  </conditionalFormatting>
  <conditionalFormatting sqref="F331">
    <cfRule type="endsWith" dxfId="4942" priority="6050" operator="endsWith" text="x">
      <formula>RIGHT(F331,LEN("x"))="x"</formula>
    </cfRule>
  </conditionalFormatting>
  <conditionalFormatting sqref="F331">
    <cfRule type="endsWith" dxfId="4941" priority="6049" operator="endsWith" text="x">
      <formula>RIGHT(F331,LEN("x"))="x"</formula>
    </cfRule>
  </conditionalFormatting>
  <conditionalFormatting sqref="F332">
    <cfRule type="endsWith" dxfId="4940" priority="6048" operator="endsWith" text="x">
      <formula>RIGHT(F332,LEN("x"))="x"</formula>
    </cfRule>
  </conditionalFormatting>
  <conditionalFormatting sqref="F332">
    <cfRule type="endsWith" dxfId="4939" priority="6047" operator="endsWith" text="x">
      <formula>RIGHT(F332,LEN("x"))="x"</formula>
    </cfRule>
  </conditionalFormatting>
  <conditionalFormatting sqref="F333">
    <cfRule type="endsWith" dxfId="4938" priority="6046" operator="endsWith" text="x">
      <formula>RIGHT(F333,LEN("x"))="x"</formula>
    </cfRule>
  </conditionalFormatting>
  <conditionalFormatting sqref="B329:B332">
    <cfRule type="endsWith" dxfId="4937" priority="6042" operator="endsWith" text="x">
      <formula>RIGHT(B329,LEN("x"))="x"</formula>
    </cfRule>
  </conditionalFormatting>
  <conditionalFormatting sqref="B331">
    <cfRule type="endsWith" dxfId="4936" priority="6040" operator="endsWith" text="x">
      <formula>RIGHT(B331,LEN("x"))="x"</formula>
    </cfRule>
  </conditionalFormatting>
  <conditionalFormatting sqref="B332">
    <cfRule type="endsWith" dxfId="4935" priority="6039" operator="endsWith" text="x">
      <formula>RIGHT(B332,LEN("x"))="x"</formula>
    </cfRule>
  </conditionalFormatting>
  <conditionalFormatting sqref="H332:H333">
    <cfRule type="endsWith" dxfId="4934" priority="6036" operator="endsWith" text="x">
      <formula>RIGHT(H332,LEN("x"))="x"</formula>
    </cfRule>
  </conditionalFormatting>
  <conditionalFormatting sqref="C329">
    <cfRule type="endsWith" dxfId="4933" priority="6079" operator="endsWith" text="x">
      <formula>RIGHT(C329,LEN("x"))="x"</formula>
    </cfRule>
  </conditionalFormatting>
  <conditionalFormatting sqref="C329">
    <cfRule type="endsWith" dxfId="4932" priority="6078" operator="endsWith" text="x">
      <formula>RIGHT(C329,LEN("x"))="x"</formula>
    </cfRule>
  </conditionalFormatting>
  <conditionalFormatting sqref="C330">
    <cfRule type="endsWith" dxfId="4931" priority="6077" operator="endsWith" text="x">
      <formula>RIGHT(C330,LEN("x"))="x"</formula>
    </cfRule>
  </conditionalFormatting>
  <conditionalFormatting sqref="C330">
    <cfRule type="endsWith" dxfId="4930" priority="6076" operator="endsWith" text="x">
      <formula>RIGHT(C330,LEN("x"))="x"</formula>
    </cfRule>
  </conditionalFormatting>
  <conditionalFormatting sqref="C331">
    <cfRule type="endsWith" dxfId="4929" priority="6075" operator="endsWith" text="x">
      <formula>RIGHT(C331,LEN("x"))="x"</formula>
    </cfRule>
  </conditionalFormatting>
  <conditionalFormatting sqref="C331">
    <cfRule type="endsWith" dxfId="4928" priority="6074" operator="endsWith" text="x">
      <formula>RIGHT(C331,LEN("x"))="x"</formula>
    </cfRule>
  </conditionalFormatting>
  <conditionalFormatting sqref="C332">
    <cfRule type="endsWith" dxfId="4927" priority="6073" operator="endsWith" text="x">
      <formula>RIGHT(C332,LEN("x"))="x"</formula>
    </cfRule>
  </conditionalFormatting>
  <conditionalFormatting sqref="C332">
    <cfRule type="endsWith" dxfId="4926" priority="6072" operator="endsWith" text="x">
      <formula>RIGHT(C332,LEN("x"))="x"</formula>
    </cfRule>
  </conditionalFormatting>
  <conditionalFormatting sqref="C333">
    <cfRule type="endsWith" dxfId="4925" priority="6071" operator="endsWith" text="x">
      <formula>RIGHT(C333,LEN("x"))="x"</formula>
    </cfRule>
  </conditionalFormatting>
  <conditionalFormatting sqref="C333">
    <cfRule type="endsWith" dxfId="4924" priority="6070" operator="endsWith" text="x">
      <formula>RIGHT(C333,LEN("x"))="x"</formula>
    </cfRule>
  </conditionalFormatting>
  <conditionalFormatting sqref="E329">
    <cfRule type="endsWith" dxfId="4923" priority="6069" operator="endsWith" text="x">
      <formula>RIGHT(E329,LEN("x"))="x"</formula>
    </cfRule>
  </conditionalFormatting>
  <conditionalFormatting sqref="E329">
    <cfRule type="endsWith" dxfId="4922" priority="6068" operator="endsWith" text="x">
      <formula>RIGHT(E329,LEN("x"))="x"</formula>
    </cfRule>
  </conditionalFormatting>
  <conditionalFormatting sqref="E330">
    <cfRule type="endsWith" dxfId="4921" priority="6067" operator="endsWith" text="x">
      <formula>RIGHT(E330,LEN("x"))="x"</formula>
    </cfRule>
  </conditionalFormatting>
  <conditionalFormatting sqref="E330">
    <cfRule type="endsWith" dxfId="4920" priority="6066" operator="endsWith" text="x">
      <formula>RIGHT(E330,LEN("x"))="x"</formula>
    </cfRule>
  </conditionalFormatting>
  <conditionalFormatting sqref="E331">
    <cfRule type="endsWith" dxfId="4919" priority="6065" operator="endsWith" text="x">
      <formula>RIGHT(E331,LEN("x"))="x"</formula>
    </cfRule>
  </conditionalFormatting>
  <conditionalFormatting sqref="E331">
    <cfRule type="endsWith" dxfId="4918" priority="6064" operator="endsWith" text="x">
      <formula>RIGHT(E331,LEN("x"))="x"</formula>
    </cfRule>
  </conditionalFormatting>
  <conditionalFormatting sqref="E332">
    <cfRule type="endsWith" dxfId="4917" priority="6063" operator="endsWith" text="x">
      <formula>RIGHT(E332,LEN("x"))="x"</formula>
    </cfRule>
  </conditionalFormatting>
  <conditionalFormatting sqref="E332">
    <cfRule type="endsWith" dxfId="4916" priority="6062" operator="endsWith" text="x">
      <formula>RIGHT(E332,LEN("x"))="x"</formula>
    </cfRule>
  </conditionalFormatting>
  <conditionalFormatting sqref="E333">
    <cfRule type="endsWith" dxfId="4915" priority="6061" operator="endsWith" text="x">
      <formula>RIGHT(E333,LEN("x"))="x"</formula>
    </cfRule>
  </conditionalFormatting>
  <conditionalFormatting sqref="E333">
    <cfRule type="endsWith" dxfId="4914" priority="6060" operator="endsWith" text="x">
      <formula>RIGHT(E333,LEN("x"))="x"</formula>
    </cfRule>
  </conditionalFormatting>
  <conditionalFormatting sqref="C221">
    <cfRule type="endsWith" dxfId="4913" priority="5598" operator="endsWith" text="x">
      <formula>RIGHT(C221,LEN("x"))="x"</formula>
    </cfRule>
  </conditionalFormatting>
  <conditionalFormatting sqref="G329:G333">
    <cfRule type="endsWith" dxfId="4912" priority="6045" operator="endsWith" text="x">
      <formula>RIGHT(G329,LEN("x"))="x"</formula>
    </cfRule>
  </conditionalFormatting>
  <conditionalFormatting sqref="G330">
    <cfRule type="endsWith" dxfId="4911" priority="6044" operator="endsWith" text="x">
      <formula>RIGHT(G330,LEN("x"))="x"</formula>
    </cfRule>
  </conditionalFormatting>
  <conditionalFormatting sqref="G332">
    <cfRule type="endsWith" dxfId="4910" priority="6043" operator="endsWith" text="x">
      <formula>RIGHT(G332,LEN("x"))="x"</formula>
    </cfRule>
  </conditionalFormatting>
  <conditionalFormatting sqref="B330">
    <cfRule type="endsWith" dxfId="4909" priority="6041" operator="endsWith" text="x">
      <formula>RIGHT(B330,LEN("x"))="x"</formula>
    </cfRule>
  </conditionalFormatting>
  <conditionalFormatting sqref="C221">
    <cfRule type="endsWith" dxfId="4908" priority="5599" operator="endsWith" text="x">
      <formula>RIGHT(C221,LEN("x"))="x"</formula>
    </cfRule>
  </conditionalFormatting>
  <conditionalFormatting sqref="F330">
    <cfRule type="endsWith" dxfId="4907" priority="6035" operator="endsWith" text="x">
      <formula>RIGHT(F330,LEN("x"))="x"</formula>
    </cfRule>
  </conditionalFormatting>
  <conditionalFormatting sqref="F331">
    <cfRule type="endsWith" dxfId="4906" priority="6032" operator="endsWith" text="x">
      <formula>RIGHT(F331,LEN("x"))="x"</formula>
    </cfRule>
  </conditionalFormatting>
  <conditionalFormatting sqref="F332">
    <cfRule type="endsWith" dxfId="4905" priority="6031" operator="endsWith" text="x">
      <formula>RIGHT(F332,LEN("x"))="x"</formula>
    </cfRule>
  </conditionalFormatting>
  <conditionalFormatting sqref="F332">
    <cfRule type="endsWith" dxfId="4904" priority="6030" operator="endsWith" text="x">
      <formula>RIGHT(F332,LEN("x"))="x"</formula>
    </cfRule>
  </conditionalFormatting>
  <conditionalFormatting sqref="F333">
    <cfRule type="endsWith" dxfId="4903" priority="6029" operator="endsWith" text="x">
      <formula>RIGHT(F333,LEN("x"))="x"</formula>
    </cfRule>
  </conditionalFormatting>
  <conditionalFormatting sqref="F333">
    <cfRule type="endsWith" dxfId="4902" priority="6028" operator="endsWith" text="x">
      <formula>RIGHT(F333,LEN("x"))="x"</formula>
    </cfRule>
  </conditionalFormatting>
  <conditionalFormatting sqref="E330">
    <cfRule type="endsWith" dxfId="4901" priority="6027" operator="endsWith" text="x">
      <formula>RIGHT(E330,LEN("x"))="x"</formula>
    </cfRule>
  </conditionalFormatting>
  <conditionalFormatting sqref="E330">
    <cfRule type="endsWith" dxfId="4900" priority="6026" operator="endsWith" text="x">
      <formula>RIGHT(E330,LEN("x"))="x"</formula>
    </cfRule>
  </conditionalFormatting>
  <conditionalFormatting sqref="E331">
    <cfRule type="endsWith" dxfId="4899" priority="6025" operator="endsWith" text="x">
      <formula>RIGHT(E331,LEN("x"))="x"</formula>
    </cfRule>
  </conditionalFormatting>
  <conditionalFormatting sqref="E331">
    <cfRule type="endsWith" dxfId="4898" priority="6024" operator="endsWith" text="x">
      <formula>RIGHT(E331,LEN("x"))="x"</formula>
    </cfRule>
  </conditionalFormatting>
  <conditionalFormatting sqref="E332">
    <cfRule type="endsWith" dxfId="4897" priority="6023" operator="endsWith" text="x">
      <formula>RIGHT(E332,LEN("x"))="x"</formula>
    </cfRule>
  </conditionalFormatting>
  <conditionalFormatting sqref="E332">
    <cfRule type="endsWith" dxfId="4896" priority="6022" operator="endsWith" text="x">
      <formula>RIGHT(E332,LEN("x"))="x"</formula>
    </cfRule>
  </conditionalFormatting>
  <conditionalFormatting sqref="E333">
    <cfRule type="endsWith" dxfId="4895" priority="6021" operator="endsWith" text="x">
      <formula>RIGHT(E333,LEN("x"))="x"</formula>
    </cfRule>
  </conditionalFormatting>
  <conditionalFormatting sqref="E333">
    <cfRule type="endsWith" dxfId="4894" priority="6020" operator="endsWith" text="x">
      <formula>RIGHT(E333,LEN("x"))="x"</formula>
    </cfRule>
  </conditionalFormatting>
  <conditionalFormatting sqref="A336:G336 A337:B340 D337:D341 F340:K341 F337:G339 A341">
    <cfRule type="endsWith" dxfId="4893" priority="6019" operator="endsWith" text="x">
      <formula>RIGHT(A336,LEN("x"))="x"</formula>
    </cfRule>
  </conditionalFormatting>
  <conditionalFormatting sqref="B338">
    <cfRule type="endsWith" dxfId="4892" priority="6018" operator="endsWith" text="x">
      <formula>RIGHT(B338,LEN("x"))="x"</formula>
    </cfRule>
  </conditionalFormatting>
  <conditionalFormatting sqref="B339">
    <cfRule type="endsWith" dxfId="4891" priority="6017" operator="endsWith" text="x">
      <formula>RIGHT(B339,LEN("x"))="x"</formula>
    </cfRule>
  </conditionalFormatting>
  <conditionalFormatting sqref="F337">
    <cfRule type="endsWith" dxfId="4890" priority="6016" operator="endsWith" text="x">
      <formula>RIGHT(F337,LEN("x"))="x"</formula>
    </cfRule>
  </conditionalFormatting>
  <conditionalFormatting sqref="G338">
    <cfRule type="endsWith" dxfId="4889" priority="6015" operator="endsWith" text="x">
      <formula>RIGHT(G338,LEN("x"))="x"</formula>
    </cfRule>
  </conditionalFormatting>
  <conditionalFormatting sqref="A340">
    <cfRule type="endsWith" dxfId="4888" priority="6014" operator="endsWith" text="x">
      <formula>RIGHT(A340,LEN("x"))="x"</formula>
    </cfRule>
  </conditionalFormatting>
  <conditionalFormatting sqref="B340 D340 G340">
    <cfRule type="endsWith" dxfId="4887" priority="6013" operator="endsWith" text="x">
      <formula>RIGHT(B340,LEN("x"))="x"</formula>
    </cfRule>
  </conditionalFormatting>
  <conditionalFormatting sqref="D218">
    <cfRule type="endsWith" dxfId="4886" priority="5587" operator="endsWith" text="x">
      <formula>RIGHT(D218,LEN("x"))="x"</formula>
    </cfRule>
  </conditionalFormatting>
  <conditionalFormatting sqref="E336">
    <cfRule type="endsWith" dxfId="4885" priority="6010" operator="endsWith" text="x">
      <formula>RIGHT(E336,LEN("x"))="x"</formula>
    </cfRule>
  </conditionalFormatting>
  <conditionalFormatting sqref="C337">
    <cfRule type="endsWith" dxfId="4884" priority="6009" operator="endsWith" text="x">
      <formula>RIGHT(C337,LEN("x"))="x"</formula>
    </cfRule>
  </conditionalFormatting>
  <conditionalFormatting sqref="C338">
    <cfRule type="endsWith" dxfId="4883" priority="6008" operator="endsWith" text="x">
      <formula>RIGHT(C338,LEN("x"))="x"</formula>
    </cfRule>
  </conditionalFormatting>
  <conditionalFormatting sqref="C339">
    <cfRule type="endsWith" dxfId="4882" priority="6007" operator="endsWith" text="x">
      <formula>RIGHT(C339,LEN("x"))="x"</formula>
    </cfRule>
  </conditionalFormatting>
  <conditionalFormatting sqref="C340">
    <cfRule type="endsWith" dxfId="4881" priority="6006" operator="endsWith" text="x">
      <formula>RIGHT(C340,LEN("x"))="x"</formula>
    </cfRule>
  </conditionalFormatting>
  <conditionalFormatting sqref="C341">
    <cfRule type="endsWith" dxfId="4880" priority="6005" operator="endsWith" text="x">
      <formula>RIGHT(C341,LEN("x"))="x"</formula>
    </cfRule>
  </conditionalFormatting>
  <conditionalFormatting sqref="E337">
    <cfRule type="endsWith" dxfId="4879" priority="6004" operator="endsWith" text="x">
      <formula>RIGHT(E337,LEN("x"))="x"</formula>
    </cfRule>
  </conditionalFormatting>
  <conditionalFormatting sqref="E338">
    <cfRule type="endsWith" dxfId="4878" priority="6003" operator="endsWith" text="x">
      <formula>RIGHT(E338,LEN("x"))="x"</formula>
    </cfRule>
  </conditionalFormatting>
  <conditionalFormatting sqref="E341">
    <cfRule type="endsWith" dxfId="4877" priority="6002" operator="endsWith" text="x">
      <formula>RIGHT(E341,LEN("x"))="x"</formula>
    </cfRule>
  </conditionalFormatting>
  <conditionalFormatting sqref="E340">
    <cfRule type="endsWith" dxfId="4876" priority="6001" operator="endsWith" text="x">
      <formula>RIGHT(E340,LEN("x"))="x"</formula>
    </cfRule>
  </conditionalFormatting>
  <conditionalFormatting sqref="E339">
    <cfRule type="endsWith" dxfId="4875" priority="6000" operator="endsWith" text="x">
      <formula>RIGHT(E339,LEN("x"))="x"</formula>
    </cfRule>
  </conditionalFormatting>
  <conditionalFormatting sqref="C267">
    <cfRule type="endsWith" dxfId="4874" priority="5999" operator="endsWith" text="x">
      <formula>RIGHT(C267,LEN("x"))="x"</formula>
    </cfRule>
  </conditionalFormatting>
  <conditionalFormatting sqref="C268">
    <cfRule type="endsWith" dxfId="4873" priority="5997" operator="endsWith" text="x">
      <formula>RIGHT(C268,LEN("x"))="x"</formula>
    </cfRule>
  </conditionalFormatting>
  <conditionalFormatting sqref="C268">
    <cfRule type="endsWith" dxfId="4872" priority="5996" operator="endsWith" text="x">
      <formula>RIGHT(C268,LEN("x"))="x"</formula>
    </cfRule>
  </conditionalFormatting>
  <conditionalFormatting sqref="C270">
    <cfRule type="endsWith" dxfId="4871" priority="5993" operator="endsWith" text="x">
      <formula>RIGHT(C270,LEN("x"))="x"</formula>
    </cfRule>
  </conditionalFormatting>
  <conditionalFormatting sqref="C270">
    <cfRule type="endsWith" dxfId="4870" priority="5992" operator="endsWith" text="x">
      <formula>RIGHT(C270,LEN("x"))="x"</formula>
    </cfRule>
  </conditionalFormatting>
  <conditionalFormatting sqref="C271">
    <cfRule type="endsWith" dxfId="4869" priority="5991" operator="endsWith" text="x">
      <formula>RIGHT(C271,LEN("x"))="x"</formula>
    </cfRule>
  </conditionalFormatting>
  <conditionalFormatting sqref="C271">
    <cfRule type="endsWith" dxfId="4868" priority="5990" operator="endsWith" text="x">
      <formula>RIGHT(C271,LEN("x"))="x"</formula>
    </cfRule>
  </conditionalFormatting>
  <conditionalFormatting sqref="E267">
    <cfRule type="endsWith" dxfId="4867" priority="5989" operator="endsWith" text="x">
      <formula>RIGHT(E267,LEN("x"))="x"</formula>
    </cfRule>
  </conditionalFormatting>
  <conditionalFormatting sqref="E267">
    <cfRule type="endsWith" dxfId="4866" priority="5988" operator="endsWith" text="x">
      <formula>RIGHT(E267,LEN("x"))="x"</formula>
    </cfRule>
  </conditionalFormatting>
  <conditionalFormatting sqref="E268">
    <cfRule type="endsWith" dxfId="4865" priority="5987" operator="endsWith" text="x">
      <formula>RIGHT(E268,LEN("x"))="x"</formula>
    </cfRule>
  </conditionalFormatting>
  <conditionalFormatting sqref="E268">
    <cfRule type="endsWith" dxfId="4864" priority="5986" operator="endsWith" text="x">
      <formula>RIGHT(E268,LEN("x"))="x"</formula>
    </cfRule>
  </conditionalFormatting>
  <conditionalFormatting sqref="E269">
    <cfRule type="endsWith" dxfId="4863" priority="5985" operator="endsWith" text="x">
      <formula>RIGHT(E269,LEN("x"))="x"</formula>
    </cfRule>
  </conditionalFormatting>
  <conditionalFormatting sqref="E269">
    <cfRule type="endsWith" dxfId="4862" priority="5984" operator="endsWith" text="x">
      <formula>RIGHT(E269,LEN("x"))="x"</formula>
    </cfRule>
  </conditionalFormatting>
  <conditionalFormatting sqref="E270">
    <cfRule type="endsWith" dxfId="4861" priority="5983" operator="endsWith" text="x">
      <formula>RIGHT(E270,LEN("x"))="x"</formula>
    </cfRule>
  </conditionalFormatting>
  <conditionalFormatting sqref="E270">
    <cfRule type="endsWith" dxfId="4860" priority="5982" operator="endsWith" text="x">
      <formula>RIGHT(E270,LEN("x"))="x"</formula>
    </cfRule>
  </conditionalFormatting>
  <conditionalFormatting sqref="E271">
    <cfRule type="endsWith" dxfId="4859" priority="5981" operator="endsWith" text="x">
      <formula>RIGHT(E271,LEN("x"))="x"</formula>
    </cfRule>
  </conditionalFormatting>
  <conditionalFormatting sqref="E271">
    <cfRule type="endsWith" dxfId="4858" priority="5980" operator="endsWith" text="x">
      <formula>RIGHT(E271,LEN("x"))="x"</formula>
    </cfRule>
  </conditionalFormatting>
  <conditionalFormatting sqref="D268">
    <cfRule type="endsWith" dxfId="4857" priority="5979" operator="endsWith" text="x">
      <formula>RIGHT(D268,LEN("x"))="x"</formula>
    </cfRule>
  </conditionalFormatting>
  <conditionalFormatting sqref="D269">
    <cfRule type="endsWith" dxfId="4856" priority="5978" operator="endsWith" text="x">
      <formula>RIGHT(D269,LEN("x"))="x"</formula>
    </cfRule>
  </conditionalFormatting>
  <conditionalFormatting sqref="D270">
    <cfRule type="endsWith" dxfId="4855" priority="5977" operator="endsWith" text="x">
      <formula>RIGHT(D270,LEN("x"))="x"</formula>
    </cfRule>
  </conditionalFormatting>
  <conditionalFormatting sqref="D270">
    <cfRule type="endsWith" dxfId="4854" priority="5976" operator="endsWith" text="x">
      <formula>RIGHT(D270,LEN("x"))="x"</formula>
    </cfRule>
  </conditionalFormatting>
  <conditionalFormatting sqref="D271">
    <cfRule type="endsWith" dxfId="4853" priority="5975" operator="endsWith" text="x">
      <formula>RIGHT(D271,LEN("x"))="x"</formula>
    </cfRule>
  </conditionalFormatting>
  <conditionalFormatting sqref="F267">
    <cfRule type="endsWith" dxfId="4852" priority="5974" operator="endsWith" text="x">
      <formula>RIGHT(F267,LEN("x"))="x"</formula>
    </cfRule>
  </conditionalFormatting>
  <conditionalFormatting sqref="F267">
    <cfRule type="endsWith" dxfId="4851" priority="5973" operator="endsWith" text="x">
      <formula>RIGHT(F267,LEN("x"))="x"</formula>
    </cfRule>
  </conditionalFormatting>
  <conditionalFormatting sqref="F268">
    <cfRule type="endsWith" dxfId="4850" priority="5972" operator="endsWith" text="x">
      <formula>RIGHT(F268,LEN("x"))="x"</formula>
    </cfRule>
  </conditionalFormatting>
  <conditionalFormatting sqref="F268">
    <cfRule type="endsWith" dxfId="4849" priority="5971" operator="endsWith" text="x">
      <formula>RIGHT(F268,LEN("x"))="x"</formula>
    </cfRule>
  </conditionalFormatting>
  <conditionalFormatting sqref="F269">
    <cfRule type="endsWith" dxfId="4848" priority="5970" operator="endsWith" text="x">
      <formula>RIGHT(F269,LEN("x"))="x"</formula>
    </cfRule>
  </conditionalFormatting>
  <conditionalFormatting sqref="F269">
    <cfRule type="endsWith" dxfId="4847" priority="5969" operator="endsWith" text="x">
      <formula>RIGHT(F269,LEN("x"))="x"</formula>
    </cfRule>
  </conditionalFormatting>
  <conditionalFormatting sqref="F270">
    <cfRule type="endsWith" dxfId="4846" priority="5968" operator="endsWith" text="x">
      <formula>RIGHT(F270,LEN("x"))="x"</formula>
    </cfRule>
  </conditionalFormatting>
  <conditionalFormatting sqref="F270">
    <cfRule type="endsWith" dxfId="4845" priority="5967" operator="endsWith" text="x">
      <formula>RIGHT(F270,LEN("x"))="x"</formula>
    </cfRule>
  </conditionalFormatting>
  <conditionalFormatting sqref="F271">
    <cfRule type="endsWith" dxfId="4844" priority="5966" operator="endsWith" text="x">
      <formula>RIGHT(F271,LEN("x"))="x"</formula>
    </cfRule>
  </conditionalFormatting>
  <conditionalFormatting sqref="G267:G271">
    <cfRule type="endsWith" dxfId="4843" priority="5965" operator="endsWith" text="x">
      <formula>RIGHT(G267,LEN("x"))="x"</formula>
    </cfRule>
  </conditionalFormatting>
  <conditionalFormatting sqref="B267:B270">
    <cfRule type="endsWith" dxfId="4842" priority="5962" operator="endsWith" text="x">
      <formula>RIGHT(B267,LEN("x"))="x"</formula>
    </cfRule>
  </conditionalFormatting>
  <conditionalFormatting sqref="H270:K271">
    <cfRule type="endsWith" dxfId="4841" priority="5958" operator="endsWith" text="x">
      <formula>RIGHT(H270,LEN("x"))="x"</formula>
    </cfRule>
  </conditionalFormatting>
  <conditionalFormatting sqref="B347">
    <cfRule type="endsWith" dxfId="4840" priority="5428" operator="endsWith" text="x">
      <formula>RIGHT(B347,LEN("x"))="x"</formula>
    </cfRule>
  </conditionalFormatting>
  <conditionalFormatting sqref="A312:G312 A313:B316 D313:D317 F313:G317 A317">
    <cfRule type="endsWith" dxfId="4839" priority="5956" operator="endsWith" text="x">
      <formula>RIGHT(A312,LEN("x"))="x"</formula>
    </cfRule>
  </conditionalFormatting>
  <conditionalFormatting sqref="B314">
    <cfRule type="endsWith" dxfId="4838" priority="5955" operator="endsWith" text="x">
      <formula>RIGHT(B314,LEN("x"))="x"</formula>
    </cfRule>
  </conditionalFormatting>
  <conditionalFormatting sqref="B315">
    <cfRule type="endsWith" dxfId="4837" priority="5954" operator="endsWith" text="x">
      <formula>RIGHT(B315,LEN("x"))="x"</formula>
    </cfRule>
  </conditionalFormatting>
  <conditionalFormatting sqref="G314">
    <cfRule type="endsWith" dxfId="4836" priority="5952" operator="endsWith" text="x">
      <formula>RIGHT(G314,LEN("x"))="x"</formula>
    </cfRule>
  </conditionalFormatting>
  <conditionalFormatting sqref="A316">
    <cfRule type="endsWith" dxfId="4835" priority="5951" operator="endsWith" text="x">
      <formula>RIGHT(A316,LEN("x"))="x"</formula>
    </cfRule>
  </conditionalFormatting>
  <conditionalFormatting sqref="C313">
    <cfRule type="endsWith" dxfId="4834" priority="5946" operator="endsWith" text="x">
      <formula>RIGHT(C313,LEN("x"))="x"</formula>
    </cfRule>
  </conditionalFormatting>
  <conditionalFormatting sqref="C313">
    <cfRule type="endsWith" dxfId="4833" priority="5947" operator="endsWith" text="x">
      <formula>RIGHT(C313,LEN("x"))="x"</formula>
    </cfRule>
  </conditionalFormatting>
  <conditionalFormatting sqref="C315">
    <cfRule type="endsWith" dxfId="4832" priority="5942" operator="endsWith" text="x">
      <formula>RIGHT(C315,LEN("x"))="x"</formula>
    </cfRule>
  </conditionalFormatting>
  <conditionalFormatting sqref="C316">
    <cfRule type="endsWith" dxfId="4831" priority="5941" operator="endsWith" text="x">
      <formula>RIGHT(C316,LEN("x"))="x"</formula>
    </cfRule>
  </conditionalFormatting>
  <conditionalFormatting sqref="C317">
    <cfRule type="endsWith" dxfId="4830" priority="5938" operator="endsWith" text="x">
      <formula>RIGHT(C317,LEN("x"))="x"</formula>
    </cfRule>
  </conditionalFormatting>
  <conditionalFormatting sqref="H316:K317">
    <cfRule type="endsWith" dxfId="4829" priority="5937" operator="endsWith" text="x">
      <formula>RIGHT(H316,LEN("x"))="x"</formula>
    </cfRule>
  </conditionalFormatting>
  <conditionalFormatting sqref="C345">
    <cfRule type="endsWith" dxfId="4828" priority="5467" operator="endsWith" text="x">
      <formula>RIGHT(C345,LEN("x"))="x"</formula>
    </cfRule>
  </conditionalFormatting>
  <conditionalFormatting sqref="E313">
    <cfRule type="endsWith" dxfId="4827" priority="5935" operator="endsWith" text="x">
      <formula>RIGHT(E313,LEN("x"))="x"</formula>
    </cfRule>
  </conditionalFormatting>
  <conditionalFormatting sqref="E314">
    <cfRule type="endsWith" dxfId="4826" priority="5934" operator="endsWith" text="x">
      <formula>RIGHT(E314,LEN("x"))="x"</formula>
    </cfRule>
  </conditionalFormatting>
  <conditionalFormatting sqref="E317">
    <cfRule type="endsWith" dxfId="4825" priority="5931" operator="endsWith" text="x">
      <formula>RIGHT(E317,LEN("x"))="x"</formula>
    </cfRule>
  </conditionalFormatting>
  <conditionalFormatting sqref="F387">
    <cfRule type="endsWith" dxfId="4824" priority="5656" operator="endsWith" text="x">
      <formula>RIGHT(F387,LEN("x"))="x"</formula>
    </cfRule>
  </conditionalFormatting>
  <conditionalFormatting sqref="F388">
    <cfRule type="endsWith" dxfId="4823" priority="5655" operator="endsWith" text="x">
      <formula>RIGHT(F388,LEN("x"))="x"</formula>
    </cfRule>
  </conditionalFormatting>
  <conditionalFormatting sqref="F388">
    <cfRule type="endsWith" dxfId="4822" priority="5654" operator="endsWith" text="x">
      <formula>RIGHT(F388,LEN("x"))="x"</formula>
    </cfRule>
  </conditionalFormatting>
  <conditionalFormatting sqref="F389">
    <cfRule type="endsWith" dxfId="4821" priority="5653" operator="endsWith" text="x">
      <formula>RIGHT(F389,LEN("x"))="x"</formula>
    </cfRule>
  </conditionalFormatting>
  <conditionalFormatting sqref="G385:G389">
    <cfRule type="endsWith" dxfId="4820" priority="5652" operator="endsWith" text="x">
      <formula>RIGHT(G385,LEN("x"))="x"</formula>
    </cfRule>
  </conditionalFormatting>
  <conditionalFormatting sqref="B388">
    <cfRule type="endsWith" dxfId="4819" priority="5646" operator="endsWith" text="x">
      <formula>RIGHT(B388,LEN("x"))="x"</formula>
    </cfRule>
  </conditionalFormatting>
  <conditionalFormatting sqref="H388:K389">
    <cfRule type="endsWith" dxfId="4818" priority="5645" operator="endsWith" text="x">
      <formula>RIGHT(H388,LEN("x"))="x"</formula>
    </cfRule>
  </conditionalFormatting>
  <conditionalFormatting sqref="G300">
    <cfRule type="endsWith" dxfId="4817" priority="5325" operator="endsWith" text="x">
      <formula>RIGHT(G300,LEN("x"))="x"</formula>
    </cfRule>
  </conditionalFormatting>
  <conditionalFormatting sqref="E388">
    <cfRule type="endsWith" dxfId="4816" priority="5670" operator="endsWith" text="x">
      <formula>RIGHT(E388,LEN("x"))="x"</formula>
    </cfRule>
  </conditionalFormatting>
  <conditionalFormatting sqref="E388">
    <cfRule type="endsWith" dxfId="4815" priority="5669" operator="endsWith" text="x">
      <formula>RIGHT(E388,LEN("x"))="x"</formula>
    </cfRule>
  </conditionalFormatting>
  <conditionalFormatting sqref="E389">
    <cfRule type="endsWith" dxfId="4814" priority="5668" operator="endsWith" text="x">
      <formula>RIGHT(E389,LEN("x"))="x"</formula>
    </cfRule>
  </conditionalFormatting>
  <conditionalFormatting sqref="E389">
    <cfRule type="endsWith" dxfId="4813" priority="5667" operator="endsWith" text="x">
      <formula>RIGHT(E389,LEN("x"))="x"</formula>
    </cfRule>
  </conditionalFormatting>
  <conditionalFormatting sqref="D386">
    <cfRule type="endsWith" dxfId="4812" priority="5666" operator="endsWith" text="x">
      <formula>RIGHT(D386,LEN("x"))="x"</formula>
    </cfRule>
  </conditionalFormatting>
  <conditionalFormatting sqref="D387">
    <cfRule type="endsWith" dxfId="4811" priority="5665" operator="endsWith" text="x">
      <formula>RIGHT(D387,LEN("x"))="x"</formula>
    </cfRule>
  </conditionalFormatting>
  <conditionalFormatting sqref="D388">
    <cfRule type="endsWith" dxfId="4810" priority="5664" operator="endsWith" text="x">
      <formula>RIGHT(D388,LEN("x"))="x"</formula>
    </cfRule>
  </conditionalFormatting>
  <conditionalFormatting sqref="D388">
    <cfRule type="endsWith" dxfId="4809" priority="5663" operator="endsWith" text="x">
      <formula>RIGHT(D388,LEN("x"))="x"</formula>
    </cfRule>
  </conditionalFormatting>
  <conditionalFormatting sqref="D389">
    <cfRule type="endsWith" dxfId="4808" priority="5662" operator="endsWith" text="x">
      <formula>RIGHT(D389,LEN("x"))="x"</formula>
    </cfRule>
  </conditionalFormatting>
  <conditionalFormatting sqref="F385">
    <cfRule type="endsWith" dxfId="4807" priority="5661" operator="endsWith" text="x">
      <formula>RIGHT(F385,LEN("x"))="x"</formula>
    </cfRule>
  </conditionalFormatting>
  <conditionalFormatting sqref="F386">
    <cfRule type="endsWith" dxfId="4806" priority="5659" operator="endsWith" text="x">
      <formula>RIGHT(F386,LEN("x"))="x"</formula>
    </cfRule>
  </conditionalFormatting>
  <conditionalFormatting sqref="F385">
    <cfRule type="endsWith" dxfId="4805" priority="5660" operator="endsWith" text="x">
      <formula>RIGHT(F385,LEN("x"))="x"</formula>
    </cfRule>
  </conditionalFormatting>
  <conditionalFormatting sqref="F386">
    <cfRule type="endsWith" dxfId="4804" priority="5658" operator="endsWith" text="x">
      <formula>RIGHT(F386,LEN("x"))="x"</formula>
    </cfRule>
  </conditionalFormatting>
  <conditionalFormatting sqref="F387">
    <cfRule type="endsWith" dxfId="4803" priority="5657" operator="endsWith" text="x">
      <formula>RIGHT(F387,LEN("x"))="x"</formula>
    </cfRule>
  </conditionalFormatting>
  <conditionalFormatting sqref="G386">
    <cfRule type="endsWith" dxfId="4802" priority="5651" operator="endsWith" text="x">
      <formula>RIGHT(G386,LEN("x"))="x"</formula>
    </cfRule>
  </conditionalFormatting>
  <conditionalFormatting sqref="G388">
    <cfRule type="endsWith" dxfId="4801" priority="5650" operator="endsWith" text="x">
      <formula>RIGHT(G388,LEN("x"))="x"</formula>
    </cfRule>
  </conditionalFormatting>
  <conditionalFormatting sqref="B385:B388">
    <cfRule type="endsWith" dxfId="4800" priority="5649" operator="endsWith" text="x">
      <formula>RIGHT(B385,LEN("x"))="x"</formula>
    </cfRule>
  </conditionalFormatting>
  <conditionalFormatting sqref="A368:G368 A369:D372 F372:K373 F369:G371 A373 C373:D373">
    <cfRule type="endsWith" dxfId="4799" priority="5890" operator="endsWith" text="x">
      <formula>RIGHT(A368,LEN("x"))="x"</formula>
    </cfRule>
  </conditionalFormatting>
  <conditionalFormatting sqref="A368:G368 A369:B372 D369:D373 F369:G373 A373">
    <cfRule type="endsWith" dxfId="4798" priority="5889" operator="endsWith" text="x">
      <formula>RIGHT(A368,LEN("x"))="x"</formula>
    </cfRule>
  </conditionalFormatting>
  <conditionalFormatting sqref="B370">
    <cfRule type="endsWith" dxfId="4797" priority="5888" operator="endsWith" text="x">
      <formula>RIGHT(B370,LEN("x"))="x"</formula>
    </cfRule>
  </conditionalFormatting>
  <conditionalFormatting sqref="B371">
    <cfRule type="endsWith" dxfId="4796" priority="5887" operator="endsWith" text="x">
      <formula>RIGHT(B371,LEN("x"))="x"</formula>
    </cfRule>
  </conditionalFormatting>
  <conditionalFormatting sqref="F369">
    <cfRule type="endsWith" dxfId="4795" priority="5886" operator="endsWith" text="x">
      <formula>RIGHT(F369,LEN("x"))="x"</formula>
    </cfRule>
  </conditionalFormatting>
  <conditionalFormatting sqref="G370">
    <cfRule type="endsWith" dxfId="4794" priority="5885" operator="endsWith" text="x">
      <formula>RIGHT(G370,LEN("x"))="x"</formula>
    </cfRule>
  </conditionalFormatting>
  <conditionalFormatting sqref="A372">
    <cfRule type="endsWith" dxfId="4793" priority="5884" operator="endsWith" text="x">
      <formula>RIGHT(A372,LEN("x"))="x"</formula>
    </cfRule>
  </conditionalFormatting>
  <conditionalFormatting sqref="B372 D372 G372">
    <cfRule type="endsWith" dxfId="4792" priority="5883" operator="endsWith" text="x">
      <formula>RIGHT(B372,LEN("x"))="x"</formula>
    </cfRule>
  </conditionalFormatting>
  <conditionalFormatting sqref="F372">
    <cfRule type="endsWith" dxfId="4791" priority="5882" operator="endsWith" text="x">
      <formula>RIGHT(F372,LEN("x"))="x"</formula>
    </cfRule>
  </conditionalFormatting>
  <conditionalFormatting sqref="E368">
    <cfRule type="endsWith" dxfId="4790" priority="5881" operator="endsWith" text="x">
      <formula>RIGHT(E368,LEN("x"))="x"</formula>
    </cfRule>
  </conditionalFormatting>
  <conditionalFormatting sqref="C369">
    <cfRule type="endsWith" dxfId="4789" priority="5879" operator="endsWith" text="x">
      <formula>RIGHT(C369,LEN("x"))="x"</formula>
    </cfRule>
  </conditionalFormatting>
  <conditionalFormatting sqref="C369">
    <cfRule type="endsWith" dxfId="4788" priority="5880" operator="endsWith" text="x">
      <formula>RIGHT(C369,LEN("x"))="x"</formula>
    </cfRule>
  </conditionalFormatting>
  <conditionalFormatting sqref="C370">
    <cfRule type="endsWith" dxfId="4787" priority="5878" operator="endsWith" text="x">
      <formula>RIGHT(C370,LEN("x"))="x"</formula>
    </cfRule>
  </conditionalFormatting>
  <conditionalFormatting sqref="C370">
    <cfRule type="endsWith" dxfId="4786" priority="5877" operator="endsWith" text="x">
      <formula>RIGHT(C370,LEN("x"))="x"</formula>
    </cfRule>
  </conditionalFormatting>
  <conditionalFormatting sqref="C371">
    <cfRule type="endsWith" dxfId="4785" priority="5876" operator="endsWith" text="x">
      <formula>RIGHT(C371,LEN("x"))="x"</formula>
    </cfRule>
  </conditionalFormatting>
  <conditionalFormatting sqref="C371">
    <cfRule type="endsWith" dxfId="4784" priority="5875" operator="endsWith" text="x">
      <formula>RIGHT(C371,LEN("x"))="x"</formula>
    </cfRule>
  </conditionalFormatting>
  <conditionalFormatting sqref="C372">
    <cfRule type="endsWith" dxfId="4783" priority="5874" operator="endsWith" text="x">
      <formula>RIGHT(C372,LEN("x"))="x"</formula>
    </cfRule>
  </conditionalFormatting>
  <conditionalFormatting sqref="C372">
    <cfRule type="endsWith" dxfId="4782" priority="5873" operator="endsWith" text="x">
      <formula>RIGHT(C372,LEN("x"))="x"</formula>
    </cfRule>
  </conditionalFormatting>
  <conditionalFormatting sqref="C373">
    <cfRule type="endsWith" dxfId="4781" priority="5872" operator="endsWith" text="x">
      <formula>RIGHT(C373,LEN("x"))="x"</formula>
    </cfRule>
  </conditionalFormatting>
  <conditionalFormatting sqref="C373">
    <cfRule type="endsWith" dxfId="4780" priority="5871" operator="endsWith" text="x">
      <formula>RIGHT(C373,LEN("x"))="x"</formula>
    </cfRule>
  </conditionalFormatting>
  <conditionalFormatting sqref="H372:K373">
    <cfRule type="endsWith" dxfId="4779" priority="5870" operator="endsWith" text="x">
      <formula>RIGHT(H372,LEN("x"))="x"</formula>
    </cfRule>
  </conditionalFormatting>
  <conditionalFormatting sqref="E219">
    <cfRule type="endsWith" dxfId="4778" priority="5505" operator="endsWith" text="x">
      <formula>RIGHT(E219,LEN("x"))="x"</formula>
    </cfRule>
  </conditionalFormatting>
  <conditionalFormatting sqref="E380">
    <cfRule type="endsWith" dxfId="4777" priority="5736" operator="endsWith" text="x">
      <formula>RIGHT(E380,LEN("x"))="x"</formula>
    </cfRule>
  </conditionalFormatting>
  <conditionalFormatting sqref="E380">
    <cfRule type="endsWith" dxfId="4776" priority="5737" operator="endsWith" text="x">
      <formula>RIGHT(E380,LEN("x"))="x"</formula>
    </cfRule>
  </conditionalFormatting>
  <conditionalFormatting sqref="E379">
    <cfRule type="endsWith" dxfId="4775" priority="5738" operator="endsWith" text="x">
      <formula>RIGHT(E379,LEN("x"))="x"</formula>
    </cfRule>
  </conditionalFormatting>
  <conditionalFormatting sqref="E379">
    <cfRule type="endsWith" dxfId="4774" priority="5739" operator="endsWith" text="x">
      <formula>RIGHT(E379,LEN("x"))="x"</formula>
    </cfRule>
  </conditionalFormatting>
  <conditionalFormatting sqref="E378">
    <cfRule type="endsWith" dxfId="4773" priority="5740" operator="endsWith" text="x">
      <formula>RIGHT(E378,LEN("x"))="x"</formula>
    </cfRule>
  </conditionalFormatting>
  <conditionalFormatting sqref="A388:K388 A385:G387 A389 C389:K389">
    <cfRule type="endsWith" dxfId="4772" priority="5687" operator="endsWith" text="x">
      <formula>RIGHT(A385,LEN("x"))="x"</formula>
    </cfRule>
  </conditionalFormatting>
  <conditionalFormatting sqref="C385">
    <cfRule type="endsWith" dxfId="4771" priority="5686" operator="endsWith" text="x">
      <formula>RIGHT(C385,LEN("x"))="x"</formula>
    </cfRule>
  </conditionalFormatting>
  <conditionalFormatting sqref="C385">
    <cfRule type="endsWith" dxfId="4770" priority="5685" operator="endsWith" text="x">
      <formula>RIGHT(C385,LEN("x"))="x"</formula>
    </cfRule>
  </conditionalFormatting>
  <conditionalFormatting sqref="C386">
    <cfRule type="endsWith" dxfId="4769" priority="5684" operator="endsWith" text="x">
      <formula>RIGHT(C386,LEN("x"))="x"</formula>
    </cfRule>
  </conditionalFormatting>
  <conditionalFormatting sqref="C386">
    <cfRule type="endsWith" dxfId="4768" priority="5683" operator="endsWith" text="x">
      <formula>RIGHT(C386,LEN("x"))="x"</formula>
    </cfRule>
  </conditionalFormatting>
  <conditionalFormatting sqref="C387">
    <cfRule type="endsWith" dxfId="4767" priority="5682" operator="endsWith" text="x">
      <formula>RIGHT(C387,LEN("x"))="x"</formula>
    </cfRule>
  </conditionalFormatting>
  <conditionalFormatting sqref="C387">
    <cfRule type="endsWith" dxfId="4766" priority="5681" operator="endsWith" text="x">
      <formula>RIGHT(C387,LEN("x"))="x"</formula>
    </cfRule>
  </conditionalFormatting>
  <conditionalFormatting sqref="C388">
    <cfRule type="endsWith" dxfId="4765" priority="5680" operator="endsWith" text="x">
      <formula>RIGHT(C388,LEN("x"))="x"</formula>
    </cfRule>
  </conditionalFormatting>
  <conditionalFormatting sqref="C388">
    <cfRule type="endsWith" dxfId="4764" priority="5679" operator="endsWith" text="x">
      <formula>RIGHT(C388,LEN("x"))="x"</formula>
    </cfRule>
  </conditionalFormatting>
  <conditionalFormatting sqref="C389">
    <cfRule type="endsWith" dxfId="4763" priority="5678" operator="endsWith" text="x">
      <formula>RIGHT(C389,LEN("x"))="x"</formula>
    </cfRule>
  </conditionalFormatting>
  <conditionalFormatting sqref="C389">
    <cfRule type="endsWith" dxfId="4762" priority="5677" operator="endsWith" text="x">
      <formula>RIGHT(C389,LEN("x"))="x"</formula>
    </cfRule>
  </conditionalFormatting>
  <conditionalFormatting sqref="E385">
    <cfRule type="endsWith" dxfId="4761" priority="5676" operator="endsWith" text="x">
      <formula>RIGHT(E385,LEN("x"))="x"</formula>
    </cfRule>
  </conditionalFormatting>
  <conditionalFormatting sqref="E385">
    <cfRule type="endsWith" dxfId="4760" priority="5675" operator="endsWith" text="x">
      <formula>RIGHT(E385,LEN("x"))="x"</formula>
    </cfRule>
  </conditionalFormatting>
  <conditionalFormatting sqref="E386">
    <cfRule type="endsWith" dxfId="4759" priority="5674" operator="endsWith" text="x">
      <formula>RIGHT(E386,LEN("x"))="x"</formula>
    </cfRule>
  </conditionalFormatting>
  <conditionalFormatting sqref="E386">
    <cfRule type="endsWith" dxfId="4758" priority="5673" operator="endsWith" text="x">
      <formula>RIGHT(E386,LEN("x"))="x"</formula>
    </cfRule>
  </conditionalFormatting>
  <conditionalFormatting sqref="E387">
    <cfRule type="endsWith" dxfId="4757" priority="5672" operator="endsWith" text="x">
      <formula>RIGHT(E387,LEN("x"))="x"</formula>
    </cfRule>
  </conditionalFormatting>
  <conditionalFormatting sqref="E387">
    <cfRule type="endsWith" dxfId="4756" priority="5671" operator="endsWith" text="x">
      <formula>RIGHT(E387,LEN("x"))="x"</formula>
    </cfRule>
  </conditionalFormatting>
  <conditionalFormatting sqref="A348:K348 A345:G347 A349 C349:K349">
    <cfRule type="endsWith" dxfId="4755" priority="5819" operator="endsWith" text="x">
      <formula>RIGHT(A345,LEN("x"))="x"</formula>
    </cfRule>
  </conditionalFormatting>
  <conditionalFormatting sqref="C345">
    <cfRule type="endsWith" dxfId="4754" priority="5818" operator="endsWith" text="x">
      <formula>RIGHT(C345,LEN("x"))="x"</formula>
    </cfRule>
  </conditionalFormatting>
  <conditionalFormatting sqref="C345">
    <cfRule type="endsWith" dxfId="4753" priority="5817" operator="endsWith" text="x">
      <formula>RIGHT(C345,LEN("x"))="x"</formula>
    </cfRule>
  </conditionalFormatting>
  <conditionalFormatting sqref="C346">
    <cfRule type="endsWith" dxfId="4752" priority="5816" operator="endsWith" text="x">
      <formula>RIGHT(C346,LEN("x"))="x"</formula>
    </cfRule>
  </conditionalFormatting>
  <conditionalFormatting sqref="C346">
    <cfRule type="endsWith" dxfId="4751" priority="5815" operator="endsWith" text="x">
      <formula>RIGHT(C346,LEN("x"))="x"</formula>
    </cfRule>
  </conditionalFormatting>
  <conditionalFormatting sqref="C347">
    <cfRule type="endsWith" dxfId="4750" priority="5814" operator="endsWith" text="x">
      <formula>RIGHT(C347,LEN("x"))="x"</formula>
    </cfRule>
  </conditionalFormatting>
  <conditionalFormatting sqref="C347">
    <cfRule type="endsWith" dxfId="4749" priority="5813" operator="endsWith" text="x">
      <formula>RIGHT(C347,LEN("x"))="x"</formula>
    </cfRule>
  </conditionalFormatting>
  <conditionalFormatting sqref="C348">
    <cfRule type="endsWith" dxfId="4748" priority="5812" operator="endsWith" text="x">
      <formula>RIGHT(C348,LEN("x"))="x"</formula>
    </cfRule>
  </conditionalFormatting>
  <conditionalFormatting sqref="C348">
    <cfRule type="endsWith" dxfId="4747" priority="5811" operator="endsWith" text="x">
      <formula>RIGHT(C348,LEN("x"))="x"</formula>
    </cfRule>
  </conditionalFormatting>
  <conditionalFormatting sqref="C349">
    <cfRule type="endsWith" dxfId="4746" priority="5810" operator="endsWith" text="x">
      <formula>RIGHT(C349,LEN("x"))="x"</formula>
    </cfRule>
  </conditionalFormatting>
  <conditionalFormatting sqref="C349">
    <cfRule type="endsWith" dxfId="4745" priority="5809" operator="endsWith" text="x">
      <formula>RIGHT(C349,LEN("x"))="x"</formula>
    </cfRule>
  </conditionalFormatting>
  <conditionalFormatting sqref="E345">
    <cfRule type="endsWith" dxfId="4744" priority="5808" operator="endsWith" text="x">
      <formula>RIGHT(E345,LEN("x"))="x"</formula>
    </cfRule>
  </conditionalFormatting>
  <conditionalFormatting sqref="E345">
    <cfRule type="endsWith" dxfId="4743" priority="5807" operator="endsWith" text="x">
      <formula>RIGHT(E345,LEN("x"))="x"</formula>
    </cfRule>
  </conditionalFormatting>
  <conditionalFormatting sqref="E346">
    <cfRule type="endsWith" dxfId="4742" priority="5806" operator="endsWith" text="x">
      <formula>RIGHT(E346,LEN("x"))="x"</formula>
    </cfRule>
  </conditionalFormatting>
  <conditionalFormatting sqref="E346">
    <cfRule type="endsWith" dxfId="4741" priority="5805" operator="endsWith" text="x">
      <formula>RIGHT(E346,LEN("x"))="x"</formula>
    </cfRule>
  </conditionalFormatting>
  <conditionalFormatting sqref="E347">
    <cfRule type="endsWith" dxfId="4740" priority="5804" operator="endsWith" text="x">
      <formula>RIGHT(E347,LEN("x"))="x"</formula>
    </cfRule>
  </conditionalFormatting>
  <conditionalFormatting sqref="E347">
    <cfRule type="endsWith" dxfId="4739" priority="5803" operator="endsWith" text="x">
      <formula>RIGHT(E347,LEN("x"))="x"</formula>
    </cfRule>
  </conditionalFormatting>
  <conditionalFormatting sqref="E348">
    <cfRule type="endsWith" dxfId="4738" priority="5802" operator="endsWith" text="x">
      <formula>RIGHT(E348,LEN("x"))="x"</formula>
    </cfRule>
  </conditionalFormatting>
  <conditionalFormatting sqref="E349">
    <cfRule type="endsWith" dxfId="4737" priority="5799" operator="endsWith" text="x">
      <formula>RIGHT(E349,LEN("x"))="x"</formula>
    </cfRule>
  </conditionalFormatting>
  <conditionalFormatting sqref="D347">
    <cfRule type="endsWith" dxfId="4736" priority="5797" operator="endsWith" text="x">
      <formula>RIGHT(D347,LEN("x"))="x"</formula>
    </cfRule>
  </conditionalFormatting>
  <conditionalFormatting sqref="D348">
    <cfRule type="endsWith" dxfId="4735" priority="5796" operator="endsWith" text="x">
      <formula>RIGHT(D348,LEN("x"))="x"</formula>
    </cfRule>
  </conditionalFormatting>
  <conditionalFormatting sqref="D348">
    <cfRule type="endsWith" dxfId="4734" priority="5795" operator="endsWith" text="x">
      <formula>RIGHT(D348,LEN("x"))="x"</formula>
    </cfRule>
  </conditionalFormatting>
  <conditionalFormatting sqref="D349">
    <cfRule type="endsWith" dxfId="4733" priority="5794" operator="endsWith" text="x">
      <formula>RIGHT(D349,LEN("x"))="x"</formula>
    </cfRule>
  </conditionalFormatting>
  <conditionalFormatting sqref="F345">
    <cfRule type="endsWith" dxfId="4732" priority="5793" operator="endsWith" text="x">
      <formula>RIGHT(F345,LEN("x"))="x"</formula>
    </cfRule>
  </conditionalFormatting>
  <conditionalFormatting sqref="F345">
    <cfRule type="endsWith" dxfId="4731" priority="5792" operator="endsWith" text="x">
      <formula>RIGHT(F345,LEN("x"))="x"</formula>
    </cfRule>
  </conditionalFormatting>
  <conditionalFormatting sqref="F346">
    <cfRule type="endsWith" dxfId="4730" priority="5791" operator="endsWith" text="x">
      <formula>RIGHT(F346,LEN("x"))="x"</formula>
    </cfRule>
  </conditionalFormatting>
  <conditionalFormatting sqref="F346">
    <cfRule type="endsWith" dxfId="4729" priority="5790" operator="endsWith" text="x">
      <formula>RIGHT(F346,LEN("x"))="x"</formula>
    </cfRule>
  </conditionalFormatting>
  <conditionalFormatting sqref="F347">
    <cfRule type="endsWith" dxfId="4728" priority="5789" operator="endsWith" text="x">
      <formula>RIGHT(F347,LEN("x"))="x"</formula>
    </cfRule>
  </conditionalFormatting>
  <conditionalFormatting sqref="F347">
    <cfRule type="endsWith" dxfId="4727" priority="5788" operator="endsWith" text="x">
      <formula>RIGHT(F347,LEN("x"))="x"</formula>
    </cfRule>
  </conditionalFormatting>
  <conditionalFormatting sqref="F348">
    <cfRule type="endsWith" dxfId="4726" priority="5787" operator="endsWith" text="x">
      <formula>RIGHT(F348,LEN("x"))="x"</formula>
    </cfRule>
  </conditionalFormatting>
  <conditionalFormatting sqref="F348">
    <cfRule type="endsWith" dxfId="4725" priority="5786" operator="endsWith" text="x">
      <formula>RIGHT(F348,LEN("x"))="x"</formula>
    </cfRule>
  </conditionalFormatting>
  <conditionalFormatting sqref="F349">
    <cfRule type="endsWith" dxfId="4724" priority="5785" operator="endsWith" text="x">
      <formula>RIGHT(F349,LEN("x"))="x"</formula>
    </cfRule>
  </conditionalFormatting>
  <conditionalFormatting sqref="G345:G349">
    <cfRule type="endsWith" dxfId="4723" priority="5784" operator="endsWith" text="x">
      <formula>RIGHT(G345,LEN("x"))="x"</formula>
    </cfRule>
  </conditionalFormatting>
  <conditionalFormatting sqref="G346">
    <cfRule type="endsWith" dxfId="4722" priority="5783" operator="endsWith" text="x">
      <formula>RIGHT(G346,LEN("x"))="x"</formula>
    </cfRule>
  </conditionalFormatting>
  <conditionalFormatting sqref="G348">
    <cfRule type="endsWith" dxfId="4721" priority="5782" operator="endsWith" text="x">
      <formula>RIGHT(G348,LEN("x"))="x"</formula>
    </cfRule>
  </conditionalFormatting>
  <conditionalFormatting sqref="B345:B348">
    <cfRule type="endsWith" dxfId="4720" priority="5781" operator="endsWith" text="x">
      <formula>RIGHT(B345,LEN("x"))="x"</formula>
    </cfRule>
  </conditionalFormatting>
  <conditionalFormatting sqref="B348">
    <cfRule type="endsWith" dxfId="4719" priority="5778" operator="endsWith" text="x">
      <formula>RIGHT(B348,LEN("x"))="x"</formula>
    </cfRule>
  </conditionalFormatting>
  <conditionalFormatting sqref="H348:K349">
    <cfRule type="endsWith" dxfId="4718" priority="5777" operator="endsWith" text="x">
      <formula>RIGHT(H348,LEN("x"))="x"</formula>
    </cfRule>
  </conditionalFormatting>
  <conditionalFormatting sqref="C345">
    <cfRule type="endsWith" dxfId="4717" priority="5367" operator="endsWith" text="x">
      <formula>RIGHT(C345,LEN("x"))="x"</formula>
    </cfRule>
  </conditionalFormatting>
  <conditionalFormatting sqref="E369">
    <cfRule type="endsWith" dxfId="4716" priority="5774" operator="endsWith" text="x">
      <formula>RIGHT(E369,LEN("x"))="x"</formula>
    </cfRule>
  </conditionalFormatting>
  <conditionalFormatting sqref="E370">
    <cfRule type="endsWith" dxfId="4715" priority="5773" operator="endsWith" text="x">
      <formula>RIGHT(E370,LEN("x"))="x"</formula>
    </cfRule>
  </conditionalFormatting>
  <conditionalFormatting sqref="E370">
    <cfRule type="endsWith" dxfId="4714" priority="5772" operator="endsWith" text="x">
      <formula>RIGHT(E370,LEN("x"))="x"</formula>
    </cfRule>
  </conditionalFormatting>
  <conditionalFormatting sqref="E371">
    <cfRule type="endsWith" dxfId="4713" priority="5771" operator="endsWith" text="x">
      <formula>RIGHT(E371,LEN("x"))="x"</formula>
    </cfRule>
  </conditionalFormatting>
  <conditionalFormatting sqref="E371">
    <cfRule type="endsWith" dxfId="4712" priority="5770" operator="endsWith" text="x">
      <formula>RIGHT(E371,LEN("x"))="x"</formula>
    </cfRule>
  </conditionalFormatting>
  <conditionalFormatting sqref="E372">
    <cfRule type="endsWith" dxfId="4711" priority="5769" operator="endsWith" text="x">
      <formula>RIGHT(E372,LEN("x"))="x"</formula>
    </cfRule>
  </conditionalFormatting>
  <conditionalFormatting sqref="E372">
    <cfRule type="endsWith" dxfId="4710" priority="5768" operator="endsWith" text="x">
      <formula>RIGHT(E372,LEN("x"))="x"</formula>
    </cfRule>
  </conditionalFormatting>
  <conditionalFormatting sqref="E373">
    <cfRule type="endsWith" dxfId="4709" priority="5767" operator="endsWith" text="x">
      <formula>RIGHT(E373,LEN("x"))="x"</formula>
    </cfRule>
  </conditionalFormatting>
  <conditionalFormatting sqref="E373">
    <cfRule type="endsWith" dxfId="4708" priority="5766" operator="endsWith" text="x">
      <formula>RIGHT(E373,LEN("x"))="x"</formula>
    </cfRule>
  </conditionalFormatting>
  <conditionalFormatting sqref="A376:G376 A377:D380 G380:K381 G377:G379 A381 C381:D381">
    <cfRule type="endsWith" dxfId="4707" priority="5765" operator="endsWith" text="x">
      <formula>RIGHT(A376,LEN("x"))="x"</formula>
    </cfRule>
  </conditionalFormatting>
  <conditionalFormatting sqref="A376:G376 A377:B380 D377:D381 G377:G381 A381">
    <cfRule type="endsWith" dxfId="4706" priority="5764" operator="endsWith" text="x">
      <formula>RIGHT(A376,LEN("x"))="x"</formula>
    </cfRule>
  </conditionalFormatting>
  <conditionalFormatting sqref="B378">
    <cfRule type="endsWith" dxfId="4705" priority="5763" operator="endsWith" text="x">
      <formula>RIGHT(B378,LEN("x"))="x"</formula>
    </cfRule>
  </conditionalFormatting>
  <conditionalFormatting sqref="B379">
    <cfRule type="endsWith" dxfId="4704" priority="5762" operator="endsWith" text="x">
      <formula>RIGHT(B379,LEN("x"))="x"</formula>
    </cfRule>
  </conditionalFormatting>
  <conditionalFormatting sqref="G378">
    <cfRule type="endsWith" dxfId="4703" priority="5760" operator="endsWith" text="x">
      <formula>RIGHT(G378,LEN("x"))="x"</formula>
    </cfRule>
  </conditionalFormatting>
  <conditionalFormatting sqref="A380">
    <cfRule type="endsWith" dxfId="4702" priority="5759" operator="endsWith" text="x">
      <formula>RIGHT(A380,LEN("x"))="x"</formula>
    </cfRule>
  </conditionalFormatting>
  <conditionalFormatting sqref="B380 D380 G380">
    <cfRule type="endsWith" dxfId="4701" priority="5758" operator="endsWith" text="x">
      <formula>RIGHT(B380,LEN("x"))="x"</formula>
    </cfRule>
  </conditionalFormatting>
  <conditionalFormatting sqref="E376">
    <cfRule type="endsWith" dxfId="4700" priority="5756" operator="endsWith" text="x">
      <formula>RIGHT(E376,LEN("x"))="x"</formula>
    </cfRule>
  </conditionalFormatting>
  <conditionalFormatting sqref="C377">
    <cfRule type="endsWith" dxfId="4699" priority="5754" operator="endsWith" text="x">
      <formula>RIGHT(C377,LEN("x"))="x"</formula>
    </cfRule>
  </conditionalFormatting>
  <conditionalFormatting sqref="C377">
    <cfRule type="endsWith" dxfId="4698" priority="5755" operator="endsWith" text="x">
      <formula>RIGHT(C377,LEN("x"))="x"</formula>
    </cfRule>
  </conditionalFormatting>
  <conditionalFormatting sqref="C378">
    <cfRule type="endsWith" dxfId="4697" priority="5753" operator="endsWith" text="x">
      <formula>RIGHT(C378,LEN("x"))="x"</formula>
    </cfRule>
  </conditionalFormatting>
  <conditionalFormatting sqref="C378">
    <cfRule type="endsWith" dxfId="4696" priority="5752" operator="endsWith" text="x">
      <formula>RIGHT(C378,LEN("x"))="x"</formula>
    </cfRule>
  </conditionalFormatting>
  <conditionalFormatting sqref="C379">
    <cfRule type="endsWith" dxfId="4695" priority="5751" operator="endsWith" text="x">
      <formula>RIGHT(C379,LEN("x"))="x"</formula>
    </cfRule>
  </conditionalFormatting>
  <conditionalFormatting sqref="C379">
    <cfRule type="endsWith" dxfId="4694" priority="5750" operator="endsWith" text="x">
      <formula>RIGHT(C379,LEN("x"))="x"</formula>
    </cfRule>
  </conditionalFormatting>
  <conditionalFormatting sqref="C380">
    <cfRule type="endsWith" dxfId="4693" priority="5749" operator="endsWith" text="x">
      <formula>RIGHT(C380,LEN("x"))="x"</formula>
    </cfRule>
  </conditionalFormatting>
  <conditionalFormatting sqref="C381">
    <cfRule type="endsWith" dxfId="4692" priority="5747" operator="endsWith" text="x">
      <formula>RIGHT(C381,LEN("x"))="x"</formula>
    </cfRule>
  </conditionalFormatting>
  <conditionalFormatting sqref="H380:K381">
    <cfRule type="endsWith" dxfId="4691" priority="5745" operator="endsWith" text="x">
      <formula>RIGHT(H380,LEN("x"))="x"</formula>
    </cfRule>
  </conditionalFormatting>
  <conditionalFormatting sqref="D346">
    <cfRule type="endsWith" dxfId="4690" priority="5395" operator="endsWith" text="x">
      <formula>RIGHT(D346,LEN("x"))="x"</formula>
    </cfRule>
  </conditionalFormatting>
  <conditionalFormatting sqref="E377">
    <cfRule type="endsWith" dxfId="4689" priority="5743" operator="endsWith" text="x">
      <formula>RIGHT(E377,LEN("x"))="x"</formula>
    </cfRule>
  </conditionalFormatting>
  <conditionalFormatting sqref="E377">
    <cfRule type="endsWith" dxfId="4688" priority="5742" operator="endsWith" text="x">
      <formula>RIGHT(E377,LEN("x"))="x"</formula>
    </cfRule>
  </conditionalFormatting>
  <conditionalFormatting sqref="E378">
    <cfRule type="endsWith" dxfId="4687" priority="5741" operator="endsWith" text="x">
      <formula>RIGHT(E378,LEN("x"))="x"</formula>
    </cfRule>
  </conditionalFormatting>
  <conditionalFormatting sqref="E381">
    <cfRule type="endsWith" dxfId="4686" priority="5735" operator="endsWith" text="x">
      <formula>RIGHT(E381,LEN("x"))="x"</formula>
    </cfRule>
  </conditionalFormatting>
  <conditionalFormatting sqref="E381">
    <cfRule type="endsWith" dxfId="4685" priority="5734" operator="endsWith" text="x">
      <formula>RIGHT(E381,LEN("x"))="x"</formula>
    </cfRule>
  </conditionalFormatting>
  <conditionalFormatting sqref="F370">
    <cfRule type="endsWith" dxfId="4684" priority="5733" operator="endsWith" text="x">
      <formula>RIGHT(F370,LEN("x"))="x"</formula>
    </cfRule>
  </conditionalFormatting>
  <conditionalFormatting sqref="F371">
    <cfRule type="endsWith" dxfId="4683" priority="5732" operator="endsWith" text="x">
      <formula>RIGHT(F371,LEN("x"))="x"</formula>
    </cfRule>
  </conditionalFormatting>
  <conditionalFormatting sqref="F372">
    <cfRule type="endsWith" dxfId="4682" priority="5731" operator="endsWith" text="x">
      <formula>RIGHT(F372,LEN("x"))="x"</formula>
    </cfRule>
  </conditionalFormatting>
  <conditionalFormatting sqref="F373">
    <cfRule type="endsWith" dxfId="4681" priority="5730" operator="endsWith" text="x">
      <formula>RIGHT(F373,LEN("x"))="x"</formula>
    </cfRule>
  </conditionalFormatting>
  <conditionalFormatting sqref="F377:F381">
    <cfRule type="endsWith" dxfId="4680" priority="5721" operator="endsWith" text="x">
      <formula>RIGHT(F377,LEN("x"))="x"</formula>
    </cfRule>
  </conditionalFormatting>
  <conditionalFormatting sqref="F377:F381">
    <cfRule type="endsWith" dxfId="4679" priority="5720" operator="endsWith" text="x">
      <formula>RIGHT(F377,LEN("x"))="x"</formula>
    </cfRule>
  </conditionalFormatting>
  <conditionalFormatting sqref="F377">
    <cfRule type="endsWith" dxfId="4678" priority="5719" operator="endsWith" text="x">
      <formula>RIGHT(F377,LEN("x"))="x"</formula>
    </cfRule>
  </conditionalFormatting>
  <conditionalFormatting sqref="F380">
    <cfRule type="endsWith" dxfId="4677" priority="5718" operator="endsWith" text="x">
      <formula>RIGHT(F380,LEN("x"))="x"</formula>
    </cfRule>
  </conditionalFormatting>
  <conditionalFormatting sqref="F378">
    <cfRule type="endsWith" dxfId="4676" priority="5717" operator="endsWith" text="x">
      <formula>RIGHT(F378,LEN("x"))="x"</formula>
    </cfRule>
  </conditionalFormatting>
  <conditionalFormatting sqref="F379">
    <cfRule type="endsWith" dxfId="4675" priority="5716" operator="endsWith" text="x">
      <formula>RIGHT(F379,LEN("x"))="x"</formula>
    </cfRule>
  </conditionalFormatting>
  <conditionalFormatting sqref="F380">
    <cfRule type="endsWith" dxfId="4674" priority="5715" operator="endsWith" text="x">
      <formula>RIGHT(F380,LEN("x"))="x"</formula>
    </cfRule>
  </conditionalFormatting>
  <conditionalFormatting sqref="F381">
    <cfRule type="endsWith" dxfId="4673" priority="5714" operator="endsWith" text="x">
      <formula>RIGHT(F381,LEN("x"))="x"</formula>
    </cfRule>
  </conditionalFormatting>
  <conditionalFormatting sqref="A392:G392 A393:B396 D393:D397 F393:G397 A397">
    <cfRule type="endsWith" dxfId="4672" priority="5713" operator="endsWith" text="x">
      <formula>RIGHT(A392,LEN("x"))="x"</formula>
    </cfRule>
  </conditionalFormatting>
  <conditionalFormatting sqref="B394">
    <cfRule type="endsWith" dxfId="4671" priority="5712" operator="endsWith" text="x">
      <formula>RIGHT(B394,LEN("x"))="x"</formula>
    </cfRule>
  </conditionalFormatting>
  <conditionalFormatting sqref="B395">
    <cfRule type="endsWith" dxfId="4670" priority="5711" operator="endsWith" text="x">
      <formula>RIGHT(B395,LEN("x"))="x"</formula>
    </cfRule>
  </conditionalFormatting>
  <conditionalFormatting sqref="F393">
    <cfRule type="endsWith" dxfId="4669" priority="5710" operator="endsWith" text="x">
      <formula>RIGHT(F393,LEN("x"))="x"</formula>
    </cfRule>
  </conditionalFormatting>
  <conditionalFormatting sqref="G394">
    <cfRule type="endsWith" dxfId="4668" priority="5709" operator="endsWith" text="x">
      <formula>RIGHT(G394,LEN("x"))="x"</formula>
    </cfRule>
  </conditionalFormatting>
  <conditionalFormatting sqref="A396">
    <cfRule type="endsWith" dxfId="4667" priority="5708" operator="endsWith" text="x">
      <formula>RIGHT(A396,LEN("x"))="x"</formula>
    </cfRule>
  </conditionalFormatting>
  <conditionalFormatting sqref="B396 D396 G396">
    <cfRule type="endsWith" dxfId="4666" priority="5707" operator="endsWith" text="x">
      <formula>RIGHT(B396,LEN("x"))="x"</formula>
    </cfRule>
  </conditionalFormatting>
  <conditionalFormatting sqref="F396">
    <cfRule type="endsWith" dxfId="4665" priority="5706" operator="endsWith" text="x">
      <formula>RIGHT(F396,LEN("x"))="x"</formula>
    </cfRule>
  </conditionalFormatting>
  <conditionalFormatting sqref="E392">
    <cfRule type="endsWith" dxfId="4664" priority="5705" operator="endsWith" text="x">
      <formula>RIGHT(E392,LEN("x"))="x"</formula>
    </cfRule>
  </conditionalFormatting>
  <conditionalFormatting sqref="C393">
    <cfRule type="endsWith" dxfId="4663" priority="5703" operator="endsWith" text="x">
      <formula>RIGHT(C393,LEN("x"))="x"</formula>
    </cfRule>
  </conditionalFormatting>
  <conditionalFormatting sqref="C393">
    <cfRule type="endsWith" dxfId="4662" priority="5704" operator="endsWith" text="x">
      <formula>RIGHT(C393,LEN("x"))="x"</formula>
    </cfRule>
  </conditionalFormatting>
  <conditionalFormatting sqref="C394">
    <cfRule type="endsWith" dxfId="4661" priority="5702" operator="endsWith" text="x">
      <formula>RIGHT(C394,LEN("x"))="x"</formula>
    </cfRule>
  </conditionalFormatting>
  <conditionalFormatting sqref="C394">
    <cfRule type="endsWith" dxfId="4660" priority="5701" operator="endsWith" text="x">
      <formula>RIGHT(C394,LEN("x"))="x"</formula>
    </cfRule>
  </conditionalFormatting>
  <conditionalFormatting sqref="C395">
    <cfRule type="endsWith" dxfId="4659" priority="5700" operator="endsWith" text="x">
      <formula>RIGHT(C395,LEN("x"))="x"</formula>
    </cfRule>
  </conditionalFormatting>
  <conditionalFormatting sqref="C395">
    <cfRule type="endsWith" dxfId="4658" priority="5699" operator="endsWith" text="x">
      <formula>RIGHT(C395,LEN("x"))="x"</formula>
    </cfRule>
  </conditionalFormatting>
  <conditionalFormatting sqref="C396">
    <cfRule type="endsWith" dxfId="4657" priority="5698" operator="endsWith" text="x">
      <formula>RIGHT(C396,LEN("x"))="x"</formula>
    </cfRule>
  </conditionalFormatting>
  <conditionalFormatting sqref="C396">
    <cfRule type="endsWith" dxfId="4656" priority="5697" operator="endsWith" text="x">
      <formula>RIGHT(C396,LEN("x"))="x"</formula>
    </cfRule>
  </conditionalFormatting>
  <conditionalFormatting sqref="C397">
    <cfRule type="endsWith" dxfId="4655" priority="5696" operator="endsWith" text="x">
      <formula>RIGHT(C397,LEN("x"))="x"</formula>
    </cfRule>
  </conditionalFormatting>
  <conditionalFormatting sqref="C397">
    <cfRule type="endsWith" dxfId="4654" priority="5695" operator="endsWith" text="x">
      <formula>RIGHT(C397,LEN("x"))="x"</formula>
    </cfRule>
  </conditionalFormatting>
  <conditionalFormatting sqref="H396:K397">
    <cfRule type="endsWith" dxfId="4653" priority="5694" operator="endsWith" text="x">
      <formula>RIGHT(H396,LEN("x"))="x"</formula>
    </cfRule>
  </conditionalFormatting>
  <conditionalFormatting sqref="C298">
    <cfRule type="endsWith" dxfId="4652" priority="5359" operator="endsWith" text="x">
      <formula>RIGHT(C298,LEN("x"))="x"</formula>
    </cfRule>
  </conditionalFormatting>
  <conditionalFormatting sqref="E393">
    <cfRule type="endsWith" dxfId="4651" priority="5692" operator="endsWith" text="x">
      <formula>RIGHT(E393,LEN("x"))="x"</formula>
    </cfRule>
  </conditionalFormatting>
  <conditionalFormatting sqref="E394">
    <cfRule type="endsWith" dxfId="4650" priority="5691" operator="endsWith" text="x">
      <formula>RIGHT(E394,LEN("x"))="x"</formula>
    </cfRule>
  </conditionalFormatting>
  <conditionalFormatting sqref="E395">
    <cfRule type="endsWith" dxfId="4649" priority="5690" operator="endsWith" text="x">
      <formula>RIGHT(E395,LEN("x"))="x"</formula>
    </cfRule>
  </conditionalFormatting>
  <conditionalFormatting sqref="E396">
    <cfRule type="endsWith" dxfId="4648" priority="5689" operator="endsWith" text="x">
      <formula>RIGHT(E396,LEN("x"))="x"</formula>
    </cfRule>
  </conditionalFormatting>
  <conditionalFormatting sqref="E397">
    <cfRule type="endsWith" dxfId="4647" priority="5688" operator="endsWith" text="x">
      <formula>RIGHT(E397,LEN("x"))="x"</formula>
    </cfRule>
  </conditionalFormatting>
  <conditionalFormatting sqref="B478">
    <cfRule type="endsWith" dxfId="4646" priority="5643" operator="endsWith" text="x">
      <formula>RIGHT(B478,LEN("x"))="x"</formula>
    </cfRule>
  </conditionalFormatting>
  <conditionalFormatting sqref="A479:A483">
    <cfRule type="endsWith" dxfId="4645" priority="5642" operator="endsWith" text="x">
      <formula>RIGHT(A479,LEN("x"))="x"</formula>
    </cfRule>
  </conditionalFormatting>
  <conditionalFormatting sqref="A482:A483">
    <cfRule type="endsWith" dxfId="4644" priority="5641" operator="endsWith" text="x">
      <formula>RIGHT(A482,LEN("x"))="x"</formula>
    </cfRule>
  </conditionalFormatting>
  <conditionalFormatting sqref="A479:A481">
    <cfRule type="endsWith" dxfId="4643" priority="5640" operator="endsWith" text="x">
      <formula>RIGHT(A479,LEN("x"))="x"</formula>
    </cfRule>
  </conditionalFormatting>
  <conditionalFormatting sqref="D479">
    <cfRule type="endsWith" dxfId="4642" priority="5639" operator="endsWith" text="x">
      <formula>RIGHT(D479,LEN("x"))="x"</formula>
    </cfRule>
  </conditionalFormatting>
  <conditionalFormatting sqref="D479">
    <cfRule type="endsWith" dxfId="4641" priority="5638" operator="endsWith" text="x">
      <formula>RIGHT(D479,LEN("x"))="x"</formula>
    </cfRule>
  </conditionalFormatting>
  <conditionalFormatting sqref="F479">
    <cfRule type="endsWith" dxfId="4640" priority="5637" operator="endsWith" text="x">
      <formula>RIGHT(F479,LEN("x"))="x"</formula>
    </cfRule>
  </conditionalFormatting>
  <conditionalFormatting sqref="F479">
    <cfRule type="endsWith" dxfId="4639" priority="5636" operator="endsWith" text="x">
      <formula>RIGHT(F479,LEN("x"))="x"</formula>
    </cfRule>
  </conditionalFormatting>
  <conditionalFormatting sqref="B217:B220">
    <cfRule type="endsWith" dxfId="4638" priority="5570" operator="endsWith" text="x">
      <formula>RIGHT(B217,LEN("x"))="x"</formula>
    </cfRule>
  </conditionalFormatting>
  <conditionalFormatting sqref="G218">
    <cfRule type="endsWith" dxfId="4637" priority="5572" operator="endsWith" text="x">
      <formula>RIGHT(G218,LEN("x"))="x"</formula>
    </cfRule>
  </conditionalFormatting>
  <conditionalFormatting sqref="G220">
    <cfRule type="endsWith" dxfId="4636" priority="5571" operator="endsWith" text="x">
      <formula>RIGHT(G220,LEN("x"))="x"</formula>
    </cfRule>
  </conditionalFormatting>
  <conditionalFormatting sqref="B218">
    <cfRule type="endsWith" dxfId="4635" priority="5569" operator="endsWith" text="x">
      <formula>RIGHT(B218,LEN("x"))="x"</formula>
    </cfRule>
  </conditionalFormatting>
  <conditionalFormatting sqref="C325">
    <cfRule type="endsWith" dxfId="4634" priority="4914" operator="endsWith" text="x">
      <formula>RIGHT(C325,LEN("x"))="x"</formula>
    </cfRule>
  </conditionalFormatting>
  <conditionalFormatting sqref="C476">
    <cfRule type="endsWith" dxfId="4633" priority="5616" operator="endsWith" text="x">
      <formula>RIGHT(C476,LEN("x"))="x"</formula>
    </cfRule>
  </conditionalFormatting>
  <conditionalFormatting sqref="G481 G479">
    <cfRule type="endsWith" dxfId="4632" priority="5633" operator="endsWith" text="x">
      <formula>RIGHT(G479,LEN("x"))="x"</formula>
    </cfRule>
  </conditionalFormatting>
  <conditionalFormatting sqref="G481 G479 G483">
    <cfRule type="endsWith" dxfId="4631" priority="5635" operator="endsWith" text="x">
      <formula>RIGHT(G479,LEN("x"))="x"</formula>
    </cfRule>
  </conditionalFormatting>
  <conditionalFormatting sqref="G483">
    <cfRule type="endsWith" dxfId="4630" priority="5634" operator="endsWith" text="x">
      <formula>RIGHT(G483,LEN("x"))="x"</formula>
    </cfRule>
  </conditionalFormatting>
  <conditionalFormatting sqref="G480">
    <cfRule type="endsWith" dxfId="4629" priority="5632" operator="endsWith" text="x">
      <formula>RIGHT(G480,LEN("x"))="x"</formula>
    </cfRule>
  </conditionalFormatting>
  <conditionalFormatting sqref="G480">
    <cfRule type="endsWith" dxfId="4628" priority="5631" operator="endsWith" text="x">
      <formula>RIGHT(G480,LEN("x"))="x"</formula>
    </cfRule>
  </conditionalFormatting>
  <conditionalFormatting sqref="G482">
    <cfRule type="endsWith" dxfId="4627" priority="5630" operator="endsWith" text="x">
      <formula>RIGHT(G482,LEN("x"))="x"</formula>
    </cfRule>
  </conditionalFormatting>
  <conditionalFormatting sqref="G482">
    <cfRule type="endsWith" dxfId="4626" priority="5629" operator="endsWith" text="x">
      <formula>RIGHT(G482,LEN("x"))="x"</formula>
    </cfRule>
  </conditionalFormatting>
  <conditionalFormatting sqref="A474:G474">
    <cfRule type="endsWith" dxfId="4625" priority="5623" operator="endsWith" text="x">
      <formula>RIGHT(A474,LEN("x"))="x"</formula>
    </cfRule>
  </conditionalFormatting>
  <conditionalFormatting sqref="E474">
    <cfRule type="endsWith" dxfId="4624" priority="5621" operator="endsWith" text="x">
      <formula>RIGHT(E474,LEN("x"))="x"</formula>
    </cfRule>
  </conditionalFormatting>
  <conditionalFormatting sqref="C479">
    <cfRule type="endsWith" dxfId="4623" priority="5614" operator="endsWith" text="x">
      <formula>RIGHT(C479,LEN("x"))="x"</formula>
    </cfRule>
  </conditionalFormatting>
  <conditionalFormatting sqref="E475">
    <cfRule type="endsWith" dxfId="4622" priority="5613" operator="endsWith" text="x">
      <formula>RIGHT(E475,LEN("x"))="x"</formula>
    </cfRule>
  </conditionalFormatting>
  <conditionalFormatting sqref="E477">
    <cfRule type="endsWith" dxfId="4621" priority="5611" operator="endsWith" text="x">
      <formula>RIGHT(E477,LEN("x"))="x"</formula>
    </cfRule>
  </conditionalFormatting>
  <conditionalFormatting sqref="E479">
    <cfRule type="endsWith" dxfId="4620" priority="5610" operator="endsWith" text="x">
      <formula>RIGHT(E479,LEN("x"))="x"</formula>
    </cfRule>
  </conditionalFormatting>
  <conditionalFormatting sqref="A475:B476 D475:D477 C477 E477 F475:G477 A477">
    <cfRule type="endsWith" dxfId="4619" priority="5620" operator="endsWith" text="x">
      <formula>RIGHT(A475,LEN("x"))="x"</formula>
    </cfRule>
  </conditionalFormatting>
  <conditionalFormatting sqref="E321">
    <cfRule type="endsWith" dxfId="4618" priority="4908" operator="endsWith" text="x">
      <formula>RIGHT(E321,LEN("x"))="x"</formula>
    </cfRule>
  </conditionalFormatting>
  <conditionalFormatting sqref="C475">
    <cfRule type="endsWith" dxfId="4617" priority="5617" operator="endsWith" text="x">
      <formula>RIGHT(C475,LEN("x"))="x"</formula>
    </cfRule>
  </conditionalFormatting>
  <conditionalFormatting sqref="C477">
    <cfRule type="endsWith" dxfId="4616" priority="5615" operator="endsWith" text="x">
      <formula>RIGHT(C477,LEN("x"))="x"</formula>
    </cfRule>
  </conditionalFormatting>
  <conditionalFormatting sqref="E476">
    <cfRule type="endsWith" dxfId="4615" priority="5612" operator="endsWith" text="x">
      <formula>RIGHT(E476,LEN("x"))="x"</formula>
    </cfRule>
  </conditionalFormatting>
  <conditionalFormatting sqref="G477">
    <cfRule type="endsWith" dxfId="4614" priority="5609" operator="endsWith" text="x">
      <formula>RIGHT(G477,LEN("x"))="x"</formula>
    </cfRule>
  </conditionalFormatting>
  <conditionalFormatting sqref="A220:K220 A217:G219 A221 C221:K221">
    <cfRule type="endsWith" dxfId="4613" priority="5608" operator="endsWith" text="x">
      <formula>RIGHT(A217,LEN("x"))="x"</formula>
    </cfRule>
  </conditionalFormatting>
  <conditionalFormatting sqref="C217">
    <cfRule type="endsWith" dxfId="4612" priority="5607" operator="endsWith" text="x">
      <formula>RIGHT(C217,LEN("x"))="x"</formula>
    </cfRule>
  </conditionalFormatting>
  <conditionalFormatting sqref="C217">
    <cfRule type="endsWith" dxfId="4611" priority="5606" operator="endsWith" text="x">
      <formula>RIGHT(C217,LEN("x"))="x"</formula>
    </cfRule>
  </conditionalFormatting>
  <conditionalFormatting sqref="C218">
    <cfRule type="endsWith" dxfId="4610" priority="5605" operator="endsWith" text="x">
      <formula>RIGHT(C218,LEN("x"))="x"</formula>
    </cfRule>
  </conditionalFormatting>
  <conditionalFormatting sqref="C218">
    <cfRule type="endsWith" dxfId="4609" priority="5604" operator="endsWith" text="x">
      <formula>RIGHT(C218,LEN("x"))="x"</formula>
    </cfRule>
  </conditionalFormatting>
  <conditionalFormatting sqref="C219">
    <cfRule type="endsWith" dxfId="4608" priority="5603" operator="endsWith" text="x">
      <formula>RIGHT(C219,LEN("x"))="x"</formula>
    </cfRule>
  </conditionalFormatting>
  <conditionalFormatting sqref="C219">
    <cfRule type="endsWith" dxfId="4607" priority="5602" operator="endsWith" text="x">
      <formula>RIGHT(C219,LEN("x"))="x"</formula>
    </cfRule>
  </conditionalFormatting>
  <conditionalFormatting sqref="C220">
    <cfRule type="endsWith" dxfId="4606" priority="5601" operator="endsWith" text="x">
      <formula>RIGHT(C220,LEN("x"))="x"</formula>
    </cfRule>
  </conditionalFormatting>
  <conditionalFormatting sqref="C220">
    <cfRule type="endsWith" dxfId="4605" priority="5600" operator="endsWith" text="x">
      <formula>RIGHT(C220,LEN("x"))="x"</formula>
    </cfRule>
  </conditionalFormatting>
  <conditionalFormatting sqref="E217">
    <cfRule type="endsWith" dxfId="4604" priority="5597" operator="endsWith" text="x">
      <formula>RIGHT(E217,LEN("x"))="x"</formula>
    </cfRule>
  </conditionalFormatting>
  <conditionalFormatting sqref="E217">
    <cfRule type="endsWith" dxfId="4603" priority="5596" operator="endsWith" text="x">
      <formula>RIGHT(E217,LEN("x"))="x"</formula>
    </cfRule>
  </conditionalFormatting>
  <conditionalFormatting sqref="E218">
    <cfRule type="endsWith" dxfId="4602" priority="5595" operator="endsWith" text="x">
      <formula>RIGHT(E218,LEN("x"))="x"</formula>
    </cfRule>
  </conditionalFormatting>
  <conditionalFormatting sqref="E218">
    <cfRule type="endsWith" dxfId="4601" priority="5594" operator="endsWith" text="x">
      <formula>RIGHT(E218,LEN("x"))="x"</formula>
    </cfRule>
  </conditionalFormatting>
  <conditionalFormatting sqref="E219">
    <cfRule type="endsWith" dxfId="4600" priority="5593" operator="endsWith" text="x">
      <formula>RIGHT(E219,LEN("x"))="x"</formula>
    </cfRule>
  </conditionalFormatting>
  <conditionalFormatting sqref="E219">
    <cfRule type="endsWith" dxfId="4599" priority="5592" operator="endsWith" text="x">
      <formula>RIGHT(E219,LEN("x"))="x"</formula>
    </cfRule>
  </conditionalFormatting>
  <conditionalFormatting sqref="E220">
    <cfRule type="endsWith" dxfId="4598" priority="5591" operator="endsWith" text="x">
      <formula>RIGHT(E220,LEN("x"))="x"</formula>
    </cfRule>
  </conditionalFormatting>
  <conditionalFormatting sqref="E220">
    <cfRule type="endsWith" dxfId="4597" priority="5590" operator="endsWith" text="x">
      <formula>RIGHT(E220,LEN("x"))="x"</formula>
    </cfRule>
  </conditionalFormatting>
  <conditionalFormatting sqref="E221">
    <cfRule type="endsWith" dxfId="4596" priority="5589" operator="endsWith" text="x">
      <formula>RIGHT(E221,LEN("x"))="x"</formula>
    </cfRule>
  </conditionalFormatting>
  <conditionalFormatting sqref="E221">
    <cfRule type="endsWith" dxfId="4595" priority="5588" operator="endsWith" text="x">
      <formula>RIGHT(E221,LEN("x"))="x"</formula>
    </cfRule>
  </conditionalFormatting>
  <conditionalFormatting sqref="D219">
    <cfRule type="endsWith" dxfId="4594" priority="5586" operator="endsWith" text="x">
      <formula>RIGHT(D219,LEN("x"))="x"</formula>
    </cfRule>
  </conditionalFormatting>
  <conditionalFormatting sqref="D220">
    <cfRule type="endsWith" dxfId="4593" priority="5585" operator="endsWith" text="x">
      <formula>RIGHT(D220,LEN("x"))="x"</formula>
    </cfRule>
  </conditionalFormatting>
  <conditionalFormatting sqref="D220">
    <cfRule type="endsWith" dxfId="4592" priority="5584" operator="endsWith" text="x">
      <formula>RIGHT(D220,LEN("x"))="x"</formula>
    </cfRule>
  </conditionalFormatting>
  <conditionalFormatting sqref="D221">
    <cfRule type="endsWith" dxfId="4591" priority="5583" operator="endsWith" text="x">
      <formula>RIGHT(D221,LEN("x"))="x"</formula>
    </cfRule>
  </conditionalFormatting>
  <conditionalFormatting sqref="F217">
    <cfRule type="endsWith" dxfId="4590" priority="5582" operator="endsWith" text="x">
      <formula>RIGHT(F217,LEN("x"))="x"</formula>
    </cfRule>
  </conditionalFormatting>
  <conditionalFormatting sqref="F217">
    <cfRule type="endsWith" dxfId="4589" priority="5581" operator="endsWith" text="x">
      <formula>RIGHT(F217,LEN("x"))="x"</formula>
    </cfRule>
  </conditionalFormatting>
  <conditionalFormatting sqref="F218">
    <cfRule type="endsWith" dxfId="4588" priority="5580" operator="endsWith" text="x">
      <formula>RIGHT(F218,LEN("x"))="x"</formula>
    </cfRule>
  </conditionalFormatting>
  <conditionalFormatting sqref="F218">
    <cfRule type="endsWith" dxfId="4587" priority="5579" operator="endsWith" text="x">
      <formula>RIGHT(F218,LEN("x"))="x"</formula>
    </cfRule>
  </conditionalFormatting>
  <conditionalFormatting sqref="F219">
    <cfRule type="endsWith" dxfId="4586" priority="5578" operator="endsWith" text="x">
      <formula>RIGHT(F219,LEN("x"))="x"</formula>
    </cfRule>
  </conditionalFormatting>
  <conditionalFormatting sqref="F219">
    <cfRule type="endsWith" dxfId="4585" priority="5577" operator="endsWith" text="x">
      <formula>RIGHT(F219,LEN("x"))="x"</formula>
    </cfRule>
  </conditionalFormatting>
  <conditionalFormatting sqref="F220">
    <cfRule type="endsWith" dxfId="4584" priority="5576" operator="endsWith" text="x">
      <formula>RIGHT(F220,LEN("x"))="x"</formula>
    </cfRule>
  </conditionalFormatting>
  <conditionalFormatting sqref="F220">
    <cfRule type="endsWith" dxfId="4583" priority="5575" operator="endsWith" text="x">
      <formula>RIGHT(F220,LEN("x"))="x"</formula>
    </cfRule>
  </conditionalFormatting>
  <conditionalFormatting sqref="F221">
    <cfRule type="endsWith" dxfId="4582" priority="5574" operator="endsWith" text="x">
      <formula>RIGHT(F221,LEN("x"))="x"</formula>
    </cfRule>
  </conditionalFormatting>
  <conditionalFormatting sqref="G217:G221">
    <cfRule type="endsWith" dxfId="4581" priority="5573" operator="endsWith" text="x">
      <formula>RIGHT(G217,LEN("x"))="x"</formula>
    </cfRule>
  </conditionalFormatting>
  <conditionalFormatting sqref="B219">
    <cfRule type="endsWith" dxfId="4580" priority="5568" operator="endsWith" text="x">
      <formula>RIGHT(B219,LEN("x"))="x"</formula>
    </cfRule>
  </conditionalFormatting>
  <conditionalFormatting sqref="B220">
    <cfRule type="endsWith" dxfId="4579" priority="5567" operator="endsWith" text="x">
      <formula>RIGHT(B220,LEN("x"))="x"</formula>
    </cfRule>
  </conditionalFormatting>
  <conditionalFormatting sqref="H220:K221">
    <cfRule type="endsWith" dxfId="4578" priority="5566" operator="endsWith" text="x">
      <formula>RIGHT(H220,LEN("x"))="x"</formula>
    </cfRule>
  </conditionalFormatting>
  <conditionalFormatting sqref="A220:K220 A217:G219 A221 C221:K221">
    <cfRule type="endsWith" dxfId="4577" priority="5564" operator="endsWith" text="x">
      <formula>RIGHT(A217,LEN("x"))="x"</formula>
    </cfRule>
  </conditionalFormatting>
  <conditionalFormatting sqref="C217">
    <cfRule type="endsWith" dxfId="4576" priority="5563" operator="endsWith" text="x">
      <formula>RIGHT(C217,LEN("x"))="x"</formula>
    </cfRule>
  </conditionalFormatting>
  <conditionalFormatting sqref="C217">
    <cfRule type="endsWith" dxfId="4575" priority="5562" operator="endsWith" text="x">
      <formula>RIGHT(C217,LEN("x"))="x"</formula>
    </cfRule>
  </conditionalFormatting>
  <conditionalFormatting sqref="C218">
    <cfRule type="endsWith" dxfId="4574" priority="5561" operator="endsWith" text="x">
      <formula>RIGHT(C218,LEN("x"))="x"</formula>
    </cfRule>
  </conditionalFormatting>
  <conditionalFormatting sqref="C218">
    <cfRule type="endsWith" dxfId="4573" priority="5560" operator="endsWith" text="x">
      <formula>RIGHT(C218,LEN("x"))="x"</formula>
    </cfRule>
  </conditionalFormatting>
  <conditionalFormatting sqref="C219">
    <cfRule type="endsWith" dxfId="4572" priority="5559" operator="endsWith" text="x">
      <formula>RIGHT(C219,LEN("x"))="x"</formula>
    </cfRule>
  </conditionalFormatting>
  <conditionalFormatting sqref="C219">
    <cfRule type="endsWith" dxfId="4571" priority="5558" operator="endsWith" text="x">
      <formula>RIGHT(C219,LEN("x"))="x"</formula>
    </cfRule>
  </conditionalFormatting>
  <conditionalFormatting sqref="C220">
    <cfRule type="endsWith" dxfId="4570" priority="5557" operator="endsWith" text="x">
      <formula>RIGHT(C220,LEN("x"))="x"</formula>
    </cfRule>
  </conditionalFormatting>
  <conditionalFormatting sqref="C220">
    <cfRule type="endsWith" dxfId="4569" priority="5556" operator="endsWith" text="x">
      <formula>RIGHT(C220,LEN("x"))="x"</formula>
    </cfRule>
  </conditionalFormatting>
  <conditionalFormatting sqref="C221">
    <cfRule type="endsWith" dxfId="4568" priority="5555" operator="endsWith" text="x">
      <formula>RIGHT(C221,LEN("x"))="x"</formula>
    </cfRule>
  </conditionalFormatting>
  <conditionalFormatting sqref="C221">
    <cfRule type="endsWith" dxfId="4567" priority="5554" operator="endsWith" text="x">
      <formula>RIGHT(C221,LEN("x"))="x"</formula>
    </cfRule>
  </conditionalFormatting>
  <conditionalFormatting sqref="E217">
    <cfRule type="endsWith" dxfId="4566" priority="5553" operator="endsWith" text="x">
      <formula>RIGHT(E217,LEN("x"))="x"</formula>
    </cfRule>
  </conditionalFormatting>
  <conditionalFormatting sqref="E217">
    <cfRule type="endsWith" dxfId="4565" priority="5552" operator="endsWith" text="x">
      <formula>RIGHT(E217,LEN("x"))="x"</formula>
    </cfRule>
  </conditionalFormatting>
  <conditionalFormatting sqref="E218">
    <cfRule type="endsWith" dxfId="4564" priority="5551" operator="endsWith" text="x">
      <formula>RIGHT(E218,LEN("x"))="x"</formula>
    </cfRule>
  </conditionalFormatting>
  <conditionalFormatting sqref="E218">
    <cfRule type="endsWith" dxfId="4563" priority="5550" operator="endsWith" text="x">
      <formula>RIGHT(E218,LEN("x"))="x"</formula>
    </cfRule>
  </conditionalFormatting>
  <conditionalFormatting sqref="E219">
    <cfRule type="endsWith" dxfId="4562" priority="5549" operator="endsWith" text="x">
      <formula>RIGHT(E219,LEN("x"))="x"</formula>
    </cfRule>
  </conditionalFormatting>
  <conditionalFormatting sqref="E219">
    <cfRule type="endsWith" dxfId="4561" priority="5548" operator="endsWith" text="x">
      <formula>RIGHT(E219,LEN("x"))="x"</formula>
    </cfRule>
  </conditionalFormatting>
  <conditionalFormatting sqref="E220">
    <cfRule type="endsWith" dxfId="4560" priority="5547" operator="endsWith" text="x">
      <formula>RIGHT(E220,LEN("x"))="x"</formula>
    </cfRule>
  </conditionalFormatting>
  <conditionalFormatting sqref="E220">
    <cfRule type="endsWith" dxfId="4559" priority="5546" operator="endsWith" text="x">
      <formula>RIGHT(E220,LEN("x"))="x"</formula>
    </cfRule>
  </conditionalFormatting>
  <conditionalFormatting sqref="E221">
    <cfRule type="endsWith" dxfId="4558" priority="5545" operator="endsWith" text="x">
      <formula>RIGHT(E221,LEN("x"))="x"</formula>
    </cfRule>
  </conditionalFormatting>
  <conditionalFormatting sqref="E221">
    <cfRule type="endsWith" dxfId="4557" priority="5544" operator="endsWith" text="x">
      <formula>RIGHT(E221,LEN("x"))="x"</formula>
    </cfRule>
  </conditionalFormatting>
  <conditionalFormatting sqref="D218">
    <cfRule type="endsWith" dxfId="4556" priority="5543" operator="endsWith" text="x">
      <formula>RIGHT(D218,LEN("x"))="x"</formula>
    </cfRule>
  </conditionalFormatting>
  <conditionalFormatting sqref="D219">
    <cfRule type="endsWith" dxfId="4555" priority="5542" operator="endsWith" text="x">
      <formula>RIGHT(D219,LEN("x"))="x"</formula>
    </cfRule>
  </conditionalFormatting>
  <conditionalFormatting sqref="D220">
    <cfRule type="endsWith" dxfId="4554" priority="5541" operator="endsWith" text="x">
      <formula>RIGHT(D220,LEN("x"))="x"</formula>
    </cfRule>
  </conditionalFormatting>
  <conditionalFormatting sqref="D220">
    <cfRule type="endsWith" dxfId="4553" priority="5540" operator="endsWith" text="x">
      <formula>RIGHT(D220,LEN("x"))="x"</formula>
    </cfRule>
  </conditionalFormatting>
  <conditionalFormatting sqref="D221">
    <cfRule type="endsWith" dxfId="4552" priority="5539" operator="endsWith" text="x">
      <formula>RIGHT(D221,LEN("x"))="x"</formula>
    </cfRule>
  </conditionalFormatting>
  <conditionalFormatting sqref="F217">
    <cfRule type="endsWith" dxfId="4551" priority="5538" operator="endsWith" text="x">
      <formula>RIGHT(F217,LEN("x"))="x"</formula>
    </cfRule>
  </conditionalFormatting>
  <conditionalFormatting sqref="F217">
    <cfRule type="endsWith" dxfId="4550" priority="5537" operator="endsWith" text="x">
      <formula>RIGHT(F217,LEN("x"))="x"</formula>
    </cfRule>
  </conditionalFormatting>
  <conditionalFormatting sqref="F218">
    <cfRule type="endsWith" dxfId="4549" priority="5536" operator="endsWith" text="x">
      <formula>RIGHT(F218,LEN("x"))="x"</formula>
    </cfRule>
  </conditionalFormatting>
  <conditionalFormatting sqref="F218">
    <cfRule type="endsWith" dxfId="4548" priority="5535" operator="endsWith" text="x">
      <formula>RIGHT(F218,LEN("x"))="x"</formula>
    </cfRule>
  </conditionalFormatting>
  <conditionalFormatting sqref="F219">
    <cfRule type="endsWith" dxfId="4547" priority="5534" operator="endsWith" text="x">
      <formula>RIGHT(F219,LEN("x"))="x"</formula>
    </cfRule>
  </conditionalFormatting>
  <conditionalFormatting sqref="F219">
    <cfRule type="endsWith" dxfId="4546" priority="5533" operator="endsWith" text="x">
      <formula>RIGHT(F219,LEN("x"))="x"</formula>
    </cfRule>
  </conditionalFormatting>
  <conditionalFormatting sqref="F220">
    <cfRule type="endsWith" dxfId="4545" priority="5532" operator="endsWith" text="x">
      <formula>RIGHT(F220,LEN("x"))="x"</formula>
    </cfRule>
  </conditionalFormatting>
  <conditionalFormatting sqref="F220">
    <cfRule type="endsWith" dxfId="4544" priority="5531" operator="endsWith" text="x">
      <formula>RIGHT(F220,LEN("x"))="x"</formula>
    </cfRule>
  </conditionalFormatting>
  <conditionalFormatting sqref="F221">
    <cfRule type="endsWith" dxfId="4543" priority="5530" operator="endsWith" text="x">
      <formula>RIGHT(F221,LEN("x"))="x"</formula>
    </cfRule>
  </conditionalFormatting>
  <conditionalFormatting sqref="G217:G221">
    <cfRule type="endsWith" dxfId="4542" priority="5529" operator="endsWith" text="x">
      <formula>RIGHT(G217,LEN("x"))="x"</formula>
    </cfRule>
  </conditionalFormatting>
  <conditionalFormatting sqref="G218">
    <cfRule type="endsWith" dxfId="4541" priority="5528" operator="endsWith" text="x">
      <formula>RIGHT(G218,LEN("x"))="x"</formula>
    </cfRule>
  </conditionalFormatting>
  <conditionalFormatting sqref="G220">
    <cfRule type="endsWith" dxfId="4540" priority="5527" operator="endsWith" text="x">
      <formula>RIGHT(G220,LEN("x"))="x"</formula>
    </cfRule>
  </conditionalFormatting>
  <conditionalFormatting sqref="B217:B220">
    <cfRule type="endsWith" dxfId="4539" priority="5526" operator="endsWith" text="x">
      <formula>RIGHT(B217,LEN("x"))="x"</formula>
    </cfRule>
  </conditionalFormatting>
  <conditionalFormatting sqref="B218">
    <cfRule type="endsWith" dxfId="4538" priority="5525" operator="endsWith" text="x">
      <formula>RIGHT(B218,LEN("x"))="x"</formula>
    </cfRule>
  </conditionalFormatting>
  <conditionalFormatting sqref="B219">
    <cfRule type="endsWith" dxfId="4537" priority="5524" operator="endsWith" text="x">
      <formula>RIGHT(B219,LEN("x"))="x"</formula>
    </cfRule>
  </conditionalFormatting>
  <conditionalFormatting sqref="B220">
    <cfRule type="endsWith" dxfId="4536" priority="5523" operator="endsWith" text="x">
      <formula>RIGHT(B220,LEN("x"))="x"</formula>
    </cfRule>
  </conditionalFormatting>
  <conditionalFormatting sqref="H220:K221">
    <cfRule type="endsWith" dxfId="4535" priority="5522" operator="endsWith" text="x">
      <formula>RIGHT(H220,LEN("x"))="x"</formula>
    </cfRule>
  </conditionalFormatting>
  <conditionalFormatting sqref="A220:K220 A217:G219 A221 C221:K221">
    <cfRule type="endsWith" dxfId="4534" priority="5520" operator="endsWith" text="x">
      <formula>RIGHT(A217,LEN("x"))="x"</formula>
    </cfRule>
  </conditionalFormatting>
  <conditionalFormatting sqref="C217">
    <cfRule type="endsWith" dxfId="4533" priority="5519" operator="endsWith" text="x">
      <formula>RIGHT(C217,LEN("x"))="x"</formula>
    </cfRule>
  </conditionalFormatting>
  <conditionalFormatting sqref="C217">
    <cfRule type="endsWith" dxfId="4532" priority="5518" operator="endsWith" text="x">
      <formula>RIGHT(C217,LEN("x"))="x"</formula>
    </cfRule>
  </conditionalFormatting>
  <conditionalFormatting sqref="C218">
    <cfRule type="endsWith" dxfId="4531" priority="5517" operator="endsWith" text="x">
      <formula>RIGHT(C218,LEN("x"))="x"</formula>
    </cfRule>
  </conditionalFormatting>
  <conditionalFormatting sqref="C218">
    <cfRule type="endsWith" dxfId="4530" priority="5516" operator="endsWith" text="x">
      <formula>RIGHT(C218,LEN("x"))="x"</formula>
    </cfRule>
  </conditionalFormatting>
  <conditionalFormatting sqref="C219">
    <cfRule type="endsWith" dxfId="4529" priority="5515" operator="endsWith" text="x">
      <formula>RIGHT(C219,LEN("x"))="x"</formula>
    </cfRule>
  </conditionalFormatting>
  <conditionalFormatting sqref="C219">
    <cfRule type="endsWith" dxfId="4528" priority="5514" operator="endsWith" text="x">
      <formula>RIGHT(C219,LEN("x"))="x"</formula>
    </cfRule>
  </conditionalFormatting>
  <conditionalFormatting sqref="C220">
    <cfRule type="endsWith" dxfId="4527" priority="5513" operator="endsWith" text="x">
      <formula>RIGHT(C220,LEN("x"))="x"</formula>
    </cfRule>
  </conditionalFormatting>
  <conditionalFormatting sqref="C220">
    <cfRule type="endsWith" dxfId="4526" priority="5512" operator="endsWith" text="x">
      <formula>RIGHT(C220,LEN("x"))="x"</formula>
    </cfRule>
  </conditionalFormatting>
  <conditionalFormatting sqref="C221">
    <cfRule type="endsWith" dxfId="4525" priority="5511" operator="endsWith" text="x">
      <formula>RIGHT(C221,LEN("x"))="x"</formula>
    </cfRule>
  </conditionalFormatting>
  <conditionalFormatting sqref="C221">
    <cfRule type="endsWith" dxfId="4524" priority="5510" operator="endsWith" text="x">
      <formula>RIGHT(C221,LEN("x"))="x"</formula>
    </cfRule>
  </conditionalFormatting>
  <conditionalFormatting sqref="E217">
    <cfRule type="endsWith" dxfId="4523" priority="5509" operator="endsWith" text="x">
      <formula>RIGHT(E217,LEN("x"))="x"</formula>
    </cfRule>
  </conditionalFormatting>
  <conditionalFormatting sqref="E217">
    <cfRule type="endsWith" dxfId="4522" priority="5508" operator="endsWith" text="x">
      <formula>RIGHT(E217,LEN("x"))="x"</formula>
    </cfRule>
  </conditionalFormatting>
  <conditionalFormatting sqref="E218">
    <cfRule type="endsWith" dxfId="4521" priority="5507" operator="endsWith" text="x">
      <formula>RIGHT(E218,LEN("x"))="x"</formula>
    </cfRule>
  </conditionalFormatting>
  <conditionalFormatting sqref="E218">
    <cfRule type="endsWith" dxfId="4520" priority="5506" operator="endsWith" text="x">
      <formula>RIGHT(E218,LEN("x"))="x"</formula>
    </cfRule>
  </conditionalFormatting>
  <conditionalFormatting sqref="E219">
    <cfRule type="endsWith" dxfId="4519" priority="5504" operator="endsWith" text="x">
      <formula>RIGHT(E219,LEN("x"))="x"</formula>
    </cfRule>
  </conditionalFormatting>
  <conditionalFormatting sqref="E220">
    <cfRule type="endsWith" dxfId="4518" priority="5503" operator="endsWith" text="x">
      <formula>RIGHT(E220,LEN("x"))="x"</formula>
    </cfRule>
  </conditionalFormatting>
  <conditionalFormatting sqref="E220">
    <cfRule type="endsWith" dxfId="4517" priority="5502" operator="endsWith" text="x">
      <formula>RIGHT(E220,LEN("x"))="x"</formula>
    </cfRule>
  </conditionalFormatting>
  <conditionalFormatting sqref="E221">
    <cfRule type="endsWith" dxfId="4516" priority="5501" operator="endsWith" text="x">
      <formula>RIGHT(E221,LEN("x"))="x"</formula>
    </cfRule>
  </conditionalFormatting>
  <conditionalFormatting sqref="E221">
    <cfRule type="endsWith" dxfId="4515" priority="5500" operator="endsWith" text="x">
      <formula>RIGHT(E221,LEN("x"))="x"</formula>
    </cfRule>
  </conditionalFormatting>
  <conditionalFormatting sqref="D218">
    <cfRule type="endsWith" dxfId="4514" priority="5499" operator="endsWith" text="x">
      <formula>RIGHT(D218,LEN("x"))="x"</formula>
    </cfRule>
  </conditionalFormatting>
  <conditionalFormatting sqref="D219">
    <cfRule type="endsWith" dxfId="4513" priority="5498" operator="endsWith" text="x">
      <formula>RIGHT(D219,LEN("x"))="x"</formula>
    </cfRule>
  </conditionalFormatting>
  <conditionalFormatting sqref="D220">
    <cfRule type="endsWith" dxfId="4512" priority="5497" operator="endsWith" text="x">
      <formula>RIGHT(D220,LEN("x"))="x"</formula>
    </cfRule>
  </conditionalFormatting>
  <conditionalFormatting sqref="D220">
    <cfRule type="endsWith" dxfId="4511" priority="5496" operator="endsWith" text="x">
      <formula>RIGHT(D220,LEN("x"))="x"</formula>
    </cfRule>
  </conditionalFormatting>
  <conditionalFormatting sqref="D221">
    <cfRule type="endsWith" dxfId="4510" priority="5495" operator="endsWith" text="x">
      <formula>RIGHT(D221,LEN("x"))="x"</formula>
    </cfRule>
  </conditionalFormatting>
  <conditionalFormatting sqref="F217">
    <cfRule type="endsWith" dxfId="4509" priority="5494" operator="endsWith" text="x">
      <formula>RIGHT(F217,LEN("x"))="x"</formula>
    </cfRule>
  </conditionalFormatting>
  <conditionalFormatting sqref="F217">
    <cfRule type="endsWith" dxfId="4508" priority="5493" operator="endsWith" text="x">
      <formula>RIGHT(F217,LEN("x"))="x"</formula>
    </cfRule>
  </conditionalFormatting>
  <conditionalFormatting sqref="F218">
    <cfRule type="endsWith" dxfId="4507" priority="5492" operator="endsWith" text="x">
      <formula>RIGHT(F218,LEN("x"))="x"</formula>
    </cfRule>
  </conditionalFormatting>
  <conditionalFormatting sqref="F218">
    <cfRule type="endsWith" dxfId="4506" priority="5491" operator="endsWith" text="x">
      <formula>RIGHT(F218,LEN("x"))="x"</formula>
    </cfRule>
  </conditionalFormatting>
  <conditionalFormatting sqref="F219">
    <cfRule type="endsWith" dxfId="4505" priority="5490" operator="endsWith" text="x">
      <formula>RIGHT(F219,LEN("x"))="x"</formula>
    </cfRule>
  </conditionalFormatting>
  <conditionalFormatting sqref="F219">
    <cfRule type="endsWith" dxfId="4504" priority="5489" operator="endsWith" text="x">
      <formula>RIGHT(F219,LEN("x"))="x"</formula>
    </cfRule>
  </conditionalFormatting>
  <conditionalFormatting sqref="F220">
    <cfRule type="endsWith" dxfId="4503" priority="5488" operator="endsWith" text="x">
      <formula>RIGHT(F220,LEN("x"))="x"</formula>
    </cfRule>
  </conditionalFormatting>
  <conditionalFormatting sqref="F220">
    <cfRule type="endsWith" dxfId="4502" priority="5487" operator="endsWith" text="x">
      <formula>RIGHT(F220,LEN("x"))="x"</formula>
    </cfRule>
  </conditionalFormatting>
  <conditionalFormatting sqref="F221">
    <cfRule type="endsWith" dxfId="4501" priority="5486" operator="endsWith" text="x">
      <formula>RIGHT(F221,LEN("x"))="x"</formula>
    </cfRule>
  </conditionalFormatting>
  <conditionalFormatting sqref="G217:G221">
    <cfRule type="endsWith" dxfId="4500" priority="5485" operator="endsWith" text="x">
      <formula>RIGHT(G217,LEN("x"))="x"</formula>
    </cfRule>
  </conditionalFormatting>
  <conditionalFormatting sqref="G218">
    <cfRule type="endsWith" dxfId="4499" priority="5484" operator="endsWith" text="x">
      <formula>RIGHT(G218,LEN("x"))="x"</formula>
    </cfRule>
  </conditionalFormatting>
  <conditionalFormatting sqref="G220">
    <cfRule type="endsWith" dxfId="4498" priority="5483" operator="endsWith" text="x">
      <formula>RIGHT(G220,LEN("x"))="x"</formula>
    </cfRule>
  </conditionalFormatting>
  <conditionalFormatting sqref="B217:B220">
    <cfRule type="endsWith" dxfId="4497" priority="5482" operator="endsWith" text="x">
      <formula>RIGHT(B217,LEN("x"))="x"</formula>
    </cfRule>
  </conditionalFormatting>
  <conditionalFormatting sqref="B218">
    <cfRule type="endsWith" dxfId="4496" priority="5481" operator="endsWith" text="x">
      <formula>RIGHT(B218,LEN("x"))="x"</formula>
    </cfRule>
  </conditionalFormatting>
  <conditionalFormatting sqref="B219">
    <cfRule type="endsWith" dxfId="4495" priority="5480" operator="endsWith" text="x">
      <formula>RIGHT(B219,LEN("x"))="x"</formula>
    </cfRule>
  </conditionalFormatting>
  <conditionalFormatting sqref="B220">
    <cfRule type="endsWith" dxfId="4494" priority="5479" operator="endsWith" text="x">
      <formula>RIGHT(B220,LEN("x"))="x"</formula>
    </cfRule>
  </conditionalFormatting>
  <conditionalFormatting sqref="H220:K221">
    <cfRule type="endsWith" dxfId="4493" priority="5478" operator="endsWith" text="x">
      <formula>RIGHT(H220,LEN("x"))="x"</formula>
    </cfRule>
  </conditionalFormatting>
  <conditionalFormatting sqref="A267:B267 D267 F267:G267">
    <cfRule type="endsWith" dxfId="4492" priority="5476" operator="endsWith" text="x">
      <formula>RIGHT(A267,LEN("x"))="x"</formula>
    </cfRule>
  </conditionalFormatting>
  <conditionalFormatting sqref="F267">
    <cfRule type="endsWith" dxfId="4491" priority="5475" operator="endsWith" text="x">
      <formula>RIGHT(F267,LEN("x"))="x"</formula>
    </cfRule>
  </conditionalFormatting>
  <conditionalFormatting sqref="A320:G320 A321:B324 D322:D325 F324:K325 F321:G323 A325">
    <cfRule type="endsWith" dxfId="4490" priority="4945" operator="endsWith" text="x">
      <formula>RIGHT(A320,LEN("x"))="x"</formula>
    </cfRule>
  </conditionalFormatting>
  <conditionalFormatting sqref="C267">
    <cfRule type="endsWith" dxfId="4489" priority="5473" operator="endsWith" text="x">
      <formula>RIGHT(C267,LEN("x"))="x"</formula>
    </cfRule>
  </conditionalFormatting>
  <conditionalFormatting sqref="E267">
    <cfRule type="endsWith" dxfId="4488" priority="5472" operator="endsWith" text="x">
      <formula>RIGHT(E267,LEN("x"))="x"</formula>
    </cfRule>
  </conditionalFormatting>
  <conditionalFormatting sqref="C267">
    <cfRule type="endsWith" dxfId="4487" priority="5471" operator="endsWith" text="x">
      <formula>RIGHT(C267,LEN("x"))="x"</formula>
    </cfRule>
  </conditionalFormatting>
  <conditionalFormatting sqref="C267">
    <cfRule type="endsWith" dxfId="4486" priority="5470" operator="endsWith" text="x">
      <formula>RIGHT(C267,LEN("x"))="x"</formula>
    </cfRule>
  </conditionalFormatting>
  <conditionalFormatting sqref="E267">
    <cfRule type="endsWith" dxfId="4485" priority="5469" operator="endsWith" text="x">
      <formula>RIGHT(E267,LEN("x"))="x"</formula>
    </cfRule>
  </conditionalFormatting>
  <conditionalFormatting sqref="E267">
    <cfRule type="endsWith" dxfId="4484" priority="5468" operator="endsWith" text="x">
      <formula>RIGHT(E267,LEN("x"))="x"</formula>
    </cfRule>
  </conditionalFormatting>
  <conditionalFormatting sqref="C345">
    <cfRule type="endsWith" dxfId="4483" priority="5466" operator="endsWith" text="x">
      <formula>RIGHT(C345,LEN("x"))="x"</formula>
    </cfRule>
  </conditionalFormatting>
  <conditionalFormatting sqref="C346">
    <cfRule type="endsWith" dxfId="4482" priority="5465" operator="endsWith" text="x">
      <formula>RIGHT(C346,LEN("x"))="x"</formula>
    </cfRule>
  </conditionalFormatting>
  <conditionalFormatting sqref="C346">
    <cfRule type="endsWith" dxfId="4481" priority="5464" operator="endsWith" text="x">
      <formula>RIGHT(C346,LEN("x"))="x"</formula>
    </cfRule>
  </conditionalFormatting>
  <conditionalFormatting sqref="C347">
    <cfRule type="endsWith" dxfId="4480" priority="5463" operator="endsWith" text="x">
      <formula>RIGHT(C347,LEN("x"))="x"</formula>
    </cfRule>
  </conditionalFormatting>
  <conditionalFormatting sqref="C347">
    <cfRule type="endsWith" dxfId="4479" priority="5462" operator="endsWith" text="x">
      <formula>RIGHT(C347,LEN("x"))="x"</formula>
    </cfRule>
  </conditionalFormatting>
  <conditionalFormatting sqref="C348">
    <cfRule type="endsWith" dxfId="4478" priority="5461" operator="endsWith" text="x">
      <formula>RIGHT(C348,LEN("x"))="x"</formula>
    </cfRule>
  </conditionalFormatting>
  <conditionalFormatting sqref="C348">
    <cfRule type="endsWith" dxfId="4477" priority="5460" operator="endsWith" text="x">
      <formula>RIGHT(C348,LEN("x"))="x"</formula>
    </cfRule>
  </conditionalFormatting>
  <conditionalFormatting sqref="C349">
    <cfRule type="endsWith" dxfId="4476" priority="5459" operator="endsWith" text="x">
      <formula>RIGHT(C349,LEN("x"))="x"</formula>
    </cfRule>
  </conditionalFormatting>
  <conditionalFormatting sqref="C349">
    <cfRule type="endsWith" dxfId="4475" priority="5458" operator="endsWith" text="x">
      <formula>RIGHT(C349,LEN("x"))="x"</formula>
    </cfRule>
  </conditionalFormatting>
  <conditionalFormatting sqref="E345">
    <cfRule type="endsWith" dxfId="4474" priority="5457" operator="endsWith" text="x">
      <formula>RIGHT(E345,LEN("x"))="x"</formula>
    </cfRule>
  </conditionalFormatting>
  <conditionalFormatting sqref="E345">
    <cfRule type="endsWith" dxfId="4473" priority="5456" operator="endsWith" text="x">
      <formula>RIGHT(E345,LEN("x"))="x"</formula>
    </cfRule>
  </conditionalFormatting>
  <conditionalFormatting sqref="E346">
    <cfRule type="endsWith" dxfId="4472" priority="5455" operator="endsWith" text="x">
      <formula>RIGHT(E346,LEN("x"))="x"</formula>
    </cfRule>
  </conditionalFormatting>
  <conditionalFormatting sqref="E346">
    <cfRule type="endsWith" dxfId="4471" priority="5454" operator="endsWith" text="x">
      <formula>RIGHT(E346,LEN("x"))="x"</formula>
    </cfRule>
  </conditionalFormatting>
  <conditionalFormatting sqref="E347">
    <cfRule type="endsWith" dxfId="4470" priority="5453" operator="endsWith" text="x">
      <formula>RIGHT(E347,LEN("x"))="x"</formula>
    </cfRule>
  </conditionalFormatting>
  <conditionalFormatting sqref="E347">
    <cfRule type="endsWith" dxfId="4469" priority="5452" operator="endsWith" text="x">
      <formula>RIGHT(E347,LEN("x"))="x"</formula>
    </cfRule>
  </conditionalFormatting>
  <conditionalFormatting sqref="E348">
    <cfRule type="endsWith" dxfId="4468" priority="5451" operator="endsWith" text="x">
      <formula>RIGHT(E348,LEN("x"))="x"</formula>
    </cfRule>
  </conditionalFormatting>
  <conditionalFormatting sqref="E348">
    <cfRule type="endsWith" dxfId="4467" priority="5450" operator="endsWith" text="x">
      <formula>RIGHT(E348,LEN("x"))="x"</formula>
    </cfRule>
  </conditionalFormatting>
  <conditionalFormatting sqref="E349">
    <cfRule type="endsWith" dxfId="4466" priority="5449" operator="endsWith" text="x">
      <formula>RIGHT(E349,LEN("x"))="x"</formula>
    </cfRule>
  </conditionalFormatting>
  <conditionalFormatting sqref="E349">
    <cfRule type="endsWith" dxfId="4465" priority="5448" operator="endsWith" text="x">
      <formula>RIGHT(E349,LEN("x"))="x"</formula>
    </cfRule>
  </conditionalFormatting>
  <conditionalFormatting sqref="D346">
    <cfRule type="endsWith" dxfId="4464" priority="5447" operator="endsWith" text="x">
      <formula>RIGHT(D346,LEN("x"))="x"</formula>
    </cfRule>
  </conditionalFormatting>
  <conditionalFormatting sqref="D347">
    <cfRule type="endsWith" dxfId="4463" priority="5446" operator="endsWith" text="x">
      <formula>RIGHT(D347,LEN("x"))="x"</formula>
    </cfRule>
  </conditionalFormatting>
  <conditionalFormatting sqref="D348">
    <cfRule type="endsWith" dxfId="4462" priority="5445" operator="endsWith" text="x">
      <formula>RIGHT(D348,LEN("x"))="x"</formula>
    </cfRule>
  </conditionalFormatting>
  <conditionalFormatting sqref="D348">
    <cfRule type="endsWith" dxfId="4461" priority="5444" operator="endsWith" text="x">
      <formula>RIGHT(D348,LEN("x"))="x"</formula>
    </cfRule>
  </conditionalFormatting>
  <conditionalFormatting sqref="D349">
    <cfRule type="endsWith" dxfId="4460" priority="5443" operator="endsWith" text="x">
      <formula>RIGHT(D349,LEN("x"))="x"</formula>
    </cfRule>
  </conditionalFormatting>
  <conditionalFormatting sqref="F345">
    <cfRule type="endsWith" dxfId="4459" priority="5442" operator="endsWith" text="x">
      <formula>RIGHT(F345,LEN("x"))="x"</formula>
    </cfRule>
  </conditionalFormatting>
  <conditionalFormatting sqref="F345">
    <cfRule type="endsWith" dxfId="4458" priority="5441" operator="endsWith" text="x">
      <formula>RIGHT(F345,LEN("x"))="x"</formula>
    </cfRule>
  </conditionalFormatting>
  <conditionalFormatting sqref="F346">
    <cfRule type="endsWith" dxfId="4457" priority="5440" operator="endsWith" text="x">
      <formula>RIGHT(F346,LEN("x"))="x"</formula>
    </cfRule>
  </conditionalFormatting>
  <conditionalFormatting sqref="F346">
    <cfRule type="endsWith" dxfId="4456" priority="5439" operator="endsWith" text="x">
      <formula>RIGHT(F346,LEN("x"))="x"</formula>
    </cfRule>
  </conditionalFormatting>
  <conditionalFormatting sqref="F347">
    <cfRule type="endsWith" dxfId="4455" priority="5438" operator="endsWith" text="x">
      <formula>RIGHT(F347,LEN("x"))="x"</formula>
    </cfRule>
  </conditionalFormatting>
  <conditionalFormatting sqref="F347">
    <cfRule type="endsWith" dxfId="4454" priority="5437" operator="endsWith" text="x">
      <formula>RIGHT(F347,LEN("x"))="x"</formula>
    </cfRule>
  </conditionalFormatting>
  <conditionalFormatting sqref="F348">
    <cfRule type="endsWith" dxfId="4453" priority="5436" operator="endsWith" text="x">
      <formula>RIGHT(F348,LEN("x"))="x"</formula>
    </cfRule>
  </conditionalFormatting>
  <conditionalFormatting sqref="F348">
    <cfRule type="endsWith" dxfId="4452" priority="5435" operator="endsWith" text="x">
      <formula>RIGHT(F348,LEN("x"))="x"</formula>
    </cfRule>
  </conditionalFormatting>
  <conditionalFormatting sqref="F349">
    <cfRule type="endsWith" dxfId="4451" priority="5434" operator="endsWith" text="x">
      <formula>RIGHT(F349,LEN("x"))="x"</formula>
    </cfRule>
  </conditionalFormatting>
  <conditionalFormatting sqref="G345:G349">
    <cfRule type="endsWith" dxfId="4450" priority="5433" operator="endsWith" text="x">
      <formula>RIGHT(G345,LEN("x"))="x"</formula>
    </cfRule>
  </conditionalFormatting>
  <conditionalFormatting sqref="G346">
    <cfRule type="endsWith" dxfId="4449" priority="5432" operator="endsWith" text="x">
      <formula>RIGHT(G346,LEN("x"))="x"</formula>
    </cfRule>
  </conditionalFormatting>
  <conditionalFormatting sqref="G348">
    <cfRule type="endsWith" dxfId="4448" priority="5431" operator="endsWith" text="x">
      <formula>RIGHT(G348,LEN("x"))="x"</formula>
    </cfRule>
  </conditionalFormatting>
  <conditionalFormatting sqref="B345:B348">
    <cfRule type="endsWith" dxfId="4447" priority="5430" operator="endsWith" text="x">
      <formula>RIGHT(B345,LEN("x"))="x"</formula>
    </cfRule>
  </conditionalFormatting>
  <conditionalFormatting sqref="B346">
    <cfRule type="endsWith" dxfId="4446" priority="5429" operator="endsWith" text="x">
      <formula>RIGHT(B346,LEN("x"))="x"</formula>
    </cfRule>
  </conditionalFormatting>
  <conditionalFormatting sqref="B348">
    <cfRule type="endsWith" dxfId="4445" priority="5427" operator="endsWith" text="x">
      <formula>RIGHT(B348,LEN("x"))="x"</formula>
    </cfRule>
  </conditionalFormatting>
  <conditionalFormatting sqref="H348:K349">
    <cfRule type="endsWith" dxfId="4444" priority="5426" operator="endsWith" text="x">
      <formula>RIGHT(H348,LEN("x"))="x"</formula>
    </cfRule>
  </conditionalFormatting>
  <conditionalFormatting sqref="G353:G357">
    <cfRule type="endsWith" dxfId="4443" priority="5016" operator="endsWith" text="x">
      <formula>RIGHT(G353,LEN("x"))="x"</formula>
    </cfRule>
  </conditionalFormatting>
  <conditionalFormatting sqref="A345:B345 D345 F345:G345">
    <cfRule type="endsWith" dxfId="4442" priority="5424" operator="endsWith" text="x">
      <formula>RIGHT(A345,LEN("x"))="x"</formula>
    </cfRule>
  </conditionalFormatting>
  <conditionalFormatting sqref="F345">
    <cfRule type="endsWith" dxfId="4441" priority="5423" operator="endsWith" text="x">
      <formula>RIGHT(F345,LEN("x"))="x"</formula>
    </cfRule>
  </conditionalFormatting>
  <conditionalFormatting sqref="B353:B356">
    <cfRule type="endsWith" dxfId="4440" priority="5013" operator="endsWith" text="x">
      <formula>RIGHT(B353,LEN("x"))="x"</formula>
    </cfRule>
  </conditionalFormatting>
  <conditionalFormatting sqref="C345">
    <cfRule type="endsWith" dxfId="4439" priority="5421" operator="endsWith" text="x">
      <formula>RIGHT(C345,LEN("x"))="x"</formula>
    </cfRule>
  </conditionalFormatting>
  <conditionalFormatting sqref="E345">
    <cfRule type="endsWith" dxfId="4438" priority="5420" operator="endsWith" text="x">
      <formula>RIGHT(E345,LEN("x"))="x"</formula>
    </cfRule>
  </conditionalFormatting>
  <conditionalFormatting sqref="C345">
    <cfRule type="endsWith" dxfId="4437" priority="5419" operator="endsWith" text="x">
      <formula>RIGHT(C345,LEN("x"))="x"</formula>
    </cfRule>
  </conditionalFormatting>
  <conditionalFormatting sqref="C345">
    <cfRule type="endsWith" dxfId="4436" priority="5418" operator="endsWith" text="x">
      <formula>RIGHT(C345,LEN("x"))="x"</formula>
    </cfRule>
  </conditionalFormatting>
  <conditionalFormatting sqref="E345">
    <cfRule type="endsWith" dxfId="4435" priority="5417" operator="endsWith" text="x">
      <formula>RIGHT(E345,LEN("x"))="x"</formula>
    </cfRule>
  </conditionalFormatting>
  <conditionalFormatting sqref="E345">
    <cfRule type="endsWith" dxfId="4434" priority="5416" operator="endsWith" text="x">
      <formula>RIGHT(E345,LEN("x"))="x"</formula>
    </cfRule>
  </conditionalFormatting>
  <conditionalFormatting sqref="C345">
    <cfRule type="endsWith" dxfId="4433" priority="5415" operator="endsWith" text="x">
      <formula>RIGHT(C345,LEN("x"))="x"</formula>
    </cfRule>
  </conditionalFormatting>
  <conditionalFormatting sqref="C345">
    <cfRule type="endsWith" dxfId="4432" priority="5414" operator="endsWith" text="x">
      <formula>RIGHT(C345,LEN("x"))="x"</formula>
    </cfRule>
  </conditionalFormatting>
  <conditionalFormatting sqref="C346">
    <cfRule type="endsWith" dxfId="4431" priority="5413" operator="endsWith" text="x">
      <formula>RIGHT(C346,LEN("x"))="x"</formula>
    </cfRule>
  </conditionalFormatting>
  <conditionalFormatting sqref="C346">
    <cfRule type="endsWith" dxfId="4430" priority="5412" operator="endsWith" text="x">
      <formula>RIGHT(C346,LEN("x"))="x"</formula>
    </cfRule>
  </conditionalFormatting>
  <conditionalFormatting sqref="C347">
    <cfRule type="endsWith" dxfId="4429" priority="5411" operator="endsWith" text="x">
      <formula>RIGHT(C347,LEN("x"))="x"</formula>
    </cfRule>
  </conditionalFormatting>
  <conditionalFormatting sqref="C347">
    <cfRule type="endsWith" dxfId="4428" priority="5410" operator="endsWith" text="x">
      <formula>RIGHT(C347,LEN("x"))="x"</formula>
    </cfRule>
  </conditionalFormatting>
  <conditionalFormatting sqref="C348">
    <cfRule type="endsWith" dxfId="4427" priority="5409" operator="endsWith" text="x">
      <formula>RIGHT(C348,LEN("x"))="x"</formula>
    </cfRule>
  </conditionalFormatting>
  <conditionalFormatting sqref="C348">
    <cfRule type="endsWith" dxfId="4426" priority="5408" operator="endsWith" text="x">
      <formula>RIGHT(C348,LEN("x"))="x"</formula>
    </cfRule>
  </conditionalFormatting>
  <conditionalFormatting sqref="C349">
    <cfRule type="endsWith" dxfId="4425" priority="5407" operator="endsWith" text="x">
      <formula>RIGHT(C349,LEN("x"))="x"</formula>
    </cfRule>
  </conditionalFormatting>
  <conditionalFormatting sqref="C349">
    <cfRule type="endsWith" dxfId="4424" priority="5406" operator="endsWith" text="x">
      <formula>RIGHT(C349,LEN("x"))="x"</formula>
    </cfRule>
  </conditionalFormatting>
  <conditionalFormatting sqref="E345">
    <cfRule type="endsWith" dxfId="4423" priority="5405" operator="endsWith" text="x">
      <formula>RIGHT(E345,LEN("x"))="x"</formula>
    </cfRule>
  </conditionalFormatting>
  <conditionalFormatting sqref="E345">
    <cfRule type="endsWith" dxfId="4422" priority="5404" operator="endsWith" text="x">
      <formula>RIGHT(E345,LEN("x"))="x"</formula>
    </cfRule>
  </conditionalFormatting>
  <conditionalFormatting sqref="E346">
    <cfRule type="endsWith" dxfId="4421" priority="5403" operator="endsWith" text="x">
      <formula>RIGHT(E346,LEN("x"))="x"</formula>
    </cfRule>
  </conditionalFormatting>
  <conditionalFormatting sqref="E346">
    <cfRule type="endsWith" dxfId="4420" priority="5402" operator="endsWith" text="x">
      <formula>RIGHT(E346,LEN("x"))="x"</formula>
    </cfRule>
  </conditionalFormatting>
  <conditionalFormatting sqref="E347">
    <cfRule type="endsWith" dxfId="4419" priority="5401" operator="endsWith" text="x">
      <formula>RIGHT(E347,LEN("x"))="x"</formula>
    </cfRule>
  </conditionalFormatting>
  <conditionalFormatting sqref="E347">
    <cfRule type="endsWith" dxfId="4418" priority="5400" operator="endsWith" text="x">
      <formula>RIGHT(E347,LEN("x"))="x"</formula>
    </cfRule>
  </conditionalFormatting>
  <conditionalFormatting sqref="E348">
    <cfRule type="endsWith" dxfId="4417" priority="5399" operator="endsWith" text="x">
      <formula>RIGHT(E348,LEN("x"))="x"</formula>
    </cfRule>
  </conditionalFormatting>
  <conditionalFormatting sqref="E348">
    <cfRule type="endsWith" dxfId="4416" priority="5398" operator="endsWith" text="x">
      <formula>RIGHT(E348,LEN("x"))="x"</formula>
    </cfRule>
  </conditionalFormatting>
  <conditionalFormatting sqref="E349">
    <cfRule type="endsWith" dxfId="4415" priority="5397" operator="endsWith" text="x">
      <formula>RIGHT(E349,LEN("x"))="x"</formula>
    </cfRule>
  </conditionalFormatting>
  <conditionalFormatting sqref="E349">
    <cfRule type="endsWith" dxfId="4414" priority="5396" operator="endsWith" text="x">
      <formula>RIGHT(E349,LEN("x"))="x"</formula>
    </cfRule>
  </conditionalFormatting>
  <conditionalFormatting sqref="D347">
    <cfRule type="endsWith" dxfId="4413" priority="5394" operator="endsWith" text="x">
      <formula>RIGHT(D347,LEN("x"))="x"</formula>
    </cfRule>
  </conditionalFormatting>
  <conditionalFormatting sqref="D348">
    <cfRule type="endsWith" dxfId="4412" priority="5393" operator="endsWith" text="x">
      <formula>RIGHT(D348,LEN("x"))="x"</formula>
    </cfRule>
  </conditionalFormatting>
  <conditionalFormatting sqref="D348">
    <cfRule type="endsWith" dxfId="4411" priority="5392" operator="endsWith" text="x">
      <formula>RIGHT(D348,LEN("x"))="x"</formula>
    </cfRule>
  </conditionalFormatting>
  <conditionalFormatting sqref="D349">
    <cfRule type="endsWith" dxfId="4410" priority="5391" operator="endsWith" text="x">
      <formula>RIGHT(D349,LEN("x"))="x"</formula>
    </cfRule>
  </conditionalFormatting>
  <conditionalFormatting sqref="F345">
    <cfRule type="endsWith" dxfId="4409" priority="5390" operator="endsWith" text="x">
      <formula>RIGHT(F345,LEN("x"))="x"</formula>
    </cfRule>
  </conditionalFormatting>
  <conditionalFormatting sqref="F345">
    <cfRule type="endsWith" dxfId="4408" priority="5389" operator="endsWith" text="x">
      <formula>RIGHT(F345,LEN("x"))="x"</formula>
    </cfRule>
  </conditionalFormatting>
  <conditionalFormatting sqref="F346">
    <cfRule type="endsWith" dxfId="4407" priority="5388" operator="endsWith" text="x">
      <formula>RIGHT(F346,LEN("x"))="x"</formula>
    </cfRule>
  </conditionalFormatting>
  <conditionalFormatting sqref="F346">
    <cfRule type="endsWith" dxfId="4406" priority="5387" operator="endsWith" text="x">
      <formula>RIGHT(F346,LEN("x"))="x"</formula>
    </cfRule>
  </conditionalFormatting>
  <conditionalFormatting sqref="F347">
    <cfRule type="endsWith" dxfId="4405" priority="5386" operator="endsWith" text="x">
      <formula>RIGHT(F347,LEN("x"))="x"</formula>
    </cfRule>
  </conditionalFormatting>
  <conditionalFormatting sqref="F347">
    <cfRule type="endsWith" dxfId="4404" priority="5385" operator="endsWith" text="x">
      <formula>RIGHT(F347,LEN("x"))="x"</formula>
    </cfRule>
  </conditionalFormatting>
  <conditionalFormatting sqref="F348">
    <cfRule type="endsWith" dxfId="4403" priority="5384" operator="endsWith" text="x">
      <formula>RIGHT(F348,LEN("x"))="x"</formula>
    </cfRule>
  </conditionalFormatting>
  <conditionalFormatting sqref="F348">
    <cfRule type="endsWith" dxfId="4402" priority="5383" operator="endsWith" text="x">
      <formula>RIGHT(F348,LEN("x"))="x"</formula>
    </cfRule>
  </conditionalFormatting>
  <conditionalFormatting sqref="F349">
    <cfRule type="endsWith" dxfId="4401" priority="5382" operator="endsWith" text="x">
      <formula>RIGHT(F349,LEN("x"))="x"</formula>
    </cfRule>
  </conditionalFormatting>
  <conditionalFormatting sqref="G345:G349">
    <cfRule type="endsWith" dxfId="4400" priority="5381" operator="endsWith" text="x">
      <formula>RIGHT(G345,LEN("x"))="x"</formula>
    </cfRule>
  </conditionalFormatting>
  <conditionalFormatting sqref="G346">
    <cfRule type="endsWith" dxfId="4399" priority="5380" operator="endsWith" text="x">
      <formula>RIGHT(G346,LEN("x"))="x"</formula>
    </cfRule>
  </conditionalFormatting>
  <conditionalFormatting sqref="G348">
    <cfRule type="endsWith" dxfId="4398" priority="5379" operator="endsWith" text="x">
      <formula>RIGHT(G348,LEN("x"))="x"</formula>
    </cfRule>
  </conditionalFormatting>
  <conditionalFormatting sqref="B345:B348">
    <cfRule type="endsWith" dxfId="4397" priority="5378" operator="endsWith" text="x">
      <formula>RIGHT(B345,LEN("x"))="x"</formula>
    </cfRule>
  </conditionalFormatting>
  <conditionalFormatting sqref="B346">
    <cfRule type="endsWith" dxfId="4396" priority="5377" operator="endsWith" text="x">
      <formula>RIGHT(B346,LEN("x"))="x"</formula>
    </cfRule>
  </conditionalFormatting>
  <conditionalFormatting sqref="B347">
    <cfRule type="endsWith" dxfId="4395" priority="5376" operator="endsWith" text="x">
      <formula>RIGHT(B347,LEN("x"))="x"</formula>
    </cfRule>
  </conditionalFormatting>
  <conditionalFormatting sqref="B348">
    <cfRule type="endsWith" dxfId="4394" priority="5375" operator="endsWith" text="x">
      <formula>RIGHT(B348,LEN("x"))="x"</formula>
    </cfRule>
  </conditionalFormatting>
  <conditionalFormatting sqref="H348:K349">
    <cfRule type="endsWith" dxfId="4393" priority="5374" operator="endsWith" text="x">
      <formula>RIGHT(H348,LEN("x"))="x"</formula>
    </cfRule>
  </conditionalFormatting>
  <conditionalFormatting sqref="B275:B278">
    <cfRule type="endsWith" dxfId="4392" priority="4964" operator="endsWith" text="x">
      <formula>RIGHT(B275,LEN("x"))="x"</formula>
    </cfRule>
  </conditionalFormatting>
  <conditionalFormatting sqref="A345:B345 D345 F345:G345">
    <cfRule type="endsWith" dxfId="4391" priority="5372" operator="endsWith" text="x">
      <formula>RIGHT(A345,LEN("x"))="x"</formula>
    </cfRule>
  </conditionalFormatting>
  <conditionalFormatting sqref="F345">
    <cfRule type="endsWith" dxfId="4390" priority="5371" operator="endsWith" text="x">
      <formula>RIGHT(F345,LEN("x"))="x"</formula>
    </cfRule>
  </conditionalFormatting>
  <conditionalFormatting sqref="B278">
    <cfRule type="endsWith" dxfId="4389" priority="4961" operator="endsWith" text="x">
      <formula>RIGHT(B278,LEN("x"))="x"</formula>
    </cfRule>
  </conditionalFormatting>
  <conditionalFormatting sqref="C345">
    <cfRule type="endsWith" dxfId="4388" priority="5369" operator="endsWith" text="x">
      <formula>RIGHT(C345,LEN("x"))="x"</formula>
    </cfRule>
  </conditionalFormatting>
  <conditionalFormatting sqref="E345">
    <cfRule type="endsWith" dxfId="4387" priority="5368" operator="endsWith" text="x">
      <formula>RIGHT(E345,LEN("x"))="x"</formula>
    </cfRule>
  </conditionalFormatting>
  <conditionalFormatting sqref="C345">
    <cfRule type="endsWith" dxfId="4386" priority="5366" operator="endsWith" text="x">
      <formula>RIGHT(C345,LEN("x"))="x"</formula>
    </cfRule>
  </conditionalFormatting>
  <conditionalFormatting sqref="E345">
    <cfRule type="endsWith" dxfId="4385" priority="5365" operator="endsWith" text="x">
      <formula>RIGHT(E345,LEN("x"))="x"</formula>
    </cfRule>
  </conditionalFormatting>
  <conditionalFormatting sqref="E345">
    <cfRule type="endsWith" dxfId="4384" priority="5364" operator="endsWith" text="x">
      <formula>RIGHT(E345,LEN("x"))="x"</formula>
    </cfRule>
  </conditionalFormatting>
  <conditionalFormatting sqref="D217">
    <cfRule type="endsWith" dxfId="4383" priority="5363" operator="endsWith" text="x">
      <formula>RIGHT(D217,LEN("x"))="x"</formula>
    </cfRule>
  </conditionalFormatting>
  <conditionalFormatting sqref="A300:K300 A297:G299 A301 C301:K301">
    <cfRule type="endsWith" dxfId="4382" priority="5362" operator="endsWith" text="x">
      <formula>RIGHT(A297,LEN("x"))="x"</formula>
    </cfRule>
  </conditionalFormatting>
  <conditionalFormatting sqref="C297">
    <cfRule type="endsWith" dxfId="4381" priority="5361" operator="endsWith" text="x">
      <formula>RIGHT(C297,LEN("x"))="x"</formula>
    </cfRule>
  </conditionalFormatting>
  <conditionalFormatting sqref="C297">
    <cfRule type="endsWith" dxfId="4380" priority="5360" operator="endsWith" text="x">
      <formula>RIGHT(C297,LEN("x"))="x"</formula>
    </cfRule>
  </conditionalFormatting>
  <conditionalFormatting sqref="C298">
    <cfRule type="endsWith" dxfId="4379" priority="5358" operator="endsWith" text="x">
      <formula>RIGHT(C298,LEN("x"))="x"</formula>
    </cfRule>
  </conditionalFormatting>
  <conditionalFormatting sqref="C299">
    <cfRule type="endsWith" dxfId="4378" priority="5357" operator="endsWith" text="x">
      <formula>RIGHT(C299,LEN("x"))="x"</formula>
    </cfRule>
  </conditionalFormatting>
  <conditionalFormatting sqref="C299">
    <cfRule type="endsWith" dxfId="4377" priority="5356" operator="endsWith" text="x">
      <formula>RIGHT(C299,LEN("x"))="x"</formula>
    </cfRule>
  </conditionalFormatting>
  <conditionalFormatting sqref="C300">
    <cfRule type="endsWith" dxfId="4376" priority="5355" operator="endsWith" text="x">
      <formula>RIGHT(C300,LEN("x"))="x"</formula>
    </cfRule>
  </conditionalFormatting>
  <conditionalFormatting sqref="C300">
    <cfRule type="endsWith" dxfId="4375" priority="5354" operator="endsWith" text="x">
      <formula>RIGHT(C300,LEN("x"))="x"</formula>
    </cfRule>
  </conditionalFormatting>
  <conditionalFormatting sqref="C301">
    <cfRule type="endsWith" dxfId="4374" priority="5353" operator="endsWith" text="x">
      <formula>RIGHT(C301,LEN("x"))="x"</formula>
    </cfRule>
  </conditionalFormatting>
  <conditionalFormatting sqref="C301">
    <cfRule type="endsWith" dxfId="4373" priority="5352" operator="endsWith" text="x">
      <formula>RIGHT(C301,LEN("x"))="x"</formula>
    </cfRule>
  </conditionalFormatting>
  <conditionalFormatting sqref="E297">
    <cfRule type="endsWith" dxfId="4372" priority="5351" operator="endsWith" text="x">
      <formula>RIGHT(E297,LEN("x"))="x"</formula>
    </cfRule>
  </conditionalFormatting>
  <conditionalFormatting sqref="E297">
    <cfRule type="endsWith" dxfId="4371" priority="5350" operator="endsWith" text="x">
      <formula>RIGHT(E297,LEN("x"))="x"</formula>
    </cfRule>
  </conditionalFormatting>
  <conditionalFormatting sqref="E298">
    <cfRule type="endsWith" dxfId="4370" priority="5349" operator="endsWith" text="x">
      <formula>RIGHT(E298,LEN("x"))="x"</formula>
    </cfRule>
  </conditionalFormatting>
  <conditionalFormatting sqref="E298">
    <cfRule type="endsWith" dxfId="4369" priority="5348" operator="endsWith" text="x">
      <formula>RIGHT(E298,LEN("x"))="x"</formula>
    </cfRule>
  </conditionalFormatting>
  <conditionalFormatting sqref="E299">
    <cfRule type="endsWith" dxfId="4368" priority="5347" operator="endsWith" text="x">
      <formula>RIGHT(E299,LEN("x"))="x"</formula>
    </cfRule>
  </conditionalFormatting>
  <conditionalFormatting sqref="E299">
    <cfRule type="endsWith" dxfId="4367" priority="5346" operator="endsWith" text="x">
      <formula>RIGHT(E299,LEN("x"))="x"</formula>
    </cfRule>
  </conditionalFormatting>
  <conditionalFormatting sqref="E300">
    <cfRule type="endsWith" dxfId="4366" priority="5345" operator="endsWith" text="x">
      <formula>RIGHT(E300,LEN("x"))="x"</formula>
    </cfRule>
  </conditionalFormatting>
  <conditionalFormatting sqref="E300">
    <cfRule type="endsWith" dxfId="4365" priority="5344" operator="endsWith" text="x">
      <formula>RIGHT(E300,LEN("x"))="x"</formula>
    </cfRule>
  </conditionalFormatting>
  <conditionalFormatting sqref="E301">
    <cfRule type="endsWith" dxfId="4364" priority="5343" operator="endsWith" text="x">
      <formula>RIGHT(E301,LEN("x"))="x"</formula>
    </cfRule>
  </conditionalFormatting>
  <conditionalFormatting sqref="E301">
    <cfRule type="endsWith" dxfId="4363" priority="5342" operator="endsWith" text="x">
      <formula>RIGHT(E301,LEN("x"))="x"</formula>
    </cfRule>
  </conditionalFormatting>
  <conditionalFormatting sqref="D298">
    <cfRule type="endsWith" dxfId="4362" priority="5341" operator="endsWith" text="x">
      <formula>RIGHT(D298,LEN("x"))="x"</formula>
    </cfRule>
  </conditionalFormatting>
  <conditionalFormatting sqref="D299">
    <cfRule type="endsWith" dxfId="4361" priority="5340" operator="endsWith" text="x">
      <formula>RIGHT(D299,LEN("x"))="x"</formula>
    </cfRule>
  </conditionalFormatting>
  <conditionalFormatting sqref="D300">
    <cfRule type="endsWith" dxfId="4360" priority="5339" operator="endsWith" text="x">
      <formula>RIGHT(D300,LEN("x"))="x"</formula>
    </cfRule>
  </conditionalFormatting>
  <conditionalFormatting sqref="D300">
    <cfRule type="endsWith" dxfId="4359" priority="5338" operator="endsWith" text="x">
      <formula>RIGHT(D300,LEN("x"))="x"</formula>
    </cfRule>
  </conditionalFormatting>
  <conditionalFormatting sqref="D301">
    <cfRule type="endsWith" dxfId="4358" priority="5337" operator="endsWith" text="x">
      <formula>RIGHT(D301,LEN("x"))="x"</formula>
    </cfRule>
  </conditionalFormatting>
  <conditionalFormatting sqref="F297">
    <cfRule type="endsWith" dxfId="4357" priority="5336" operator="endsWith" text="x">
      <formula>RIGHT(F297,LEN("x"))="x"</formula>
    </cfRule>
  </conditionalFormatting>
  <conditionalFormatting sqref="F297">
    <cfRule type="endsWith" dxfId="4356" priority="5335" operator="endsWith" text="x">
      <formula>RIGHT(F297,LEN("x"))="x"</formula>
    </cfRule>
  </conditionalFormatting>
  <conditionalFormatting sqref="F298">
    <cfRule type="endsWith" dxfId="4355" priority="5334" operator="endsWith" text="x">
      <formula>RIGHT(F298,LEN("x"))="x"</formula>
    </cfRule>
  </conditionalFormatting>
  <conditionalFormatting sqref="F298">
    <cfRule type="endsWith" dxfId="4354" priority="5333" operator="endsWith" text="x">
      <formula>RIGHT(F298,LEN("x"))="x"</formula>
    </cfRule>
  </conditionalFormatting>
  <conditionalFormatting sqref="F299">
    <cfRule type="endsWith" dxfId="4353" priority="5332" operator="endsWith" text="x">
      <formula>RIGHT(F299,LEN("x"))="x"</formula>
    </cfRule>
  </conditionalFormatting>
  <conditionalFormatting sqref="F299">
    <cfRule type="endsWith" dxfId="4352" priority="5331" operator="endsWith" text="x">
      <formula>RIGHT(F299,LEN("x"))="x"</formula>
    </cfRule>
  </conditionalFormatting>
  <conditionalFormatting sqref="F300">
    <cfRule type="endsWith" dxfId="4351" priority="5330" operator="endsWith" text="x">
      <formula>RIGHT(F300,LEN("x"))="x"</formula>
    </cfRule>
  </conditionalFormatting>
  <conditionalFormatting sqref="F300">
    <cfRule type="endsWith" dxfId="4350" priority="5329" operator="endsWith" text="x">
      <formula>RIGHT(F300,LEN("x"))="x"</formula>
    </cfRule>
  </conditionalFormatting>
  <conditionalFormatting sqref="F301">
    <cfRule type="endsWith" dxfId="4349" priority="5328" operator="endsWith" text="x">
      <formula>RIGHT(F301,LEN("x"))="x"</formula>
    </cfRule>
  </conditionalFormatting>
  <conditionalFormatting sqref="G297:G301">
    <cfRule type="endsWith" dxfId="4348" priority="5327" operator="endsWith" text="x">
      <formula>RIGHT(G297,LEN("x"))="x"</formula>
    </cfRule>
  </conditionalFormatting>
  <conditionalFormatting sqref="G298">
    <cfRule type="endsWith" dxfId="4347" priority="5326" operator="endsWith" text="x">
      <formula>RIGHT(G298,LEN("x"))="x"</formula>
    </cfRule>
  </conditionalFormatting>
  <conditionalFormatting sqref="B297:B300">
    <cfRule type="endsWith" dxfId="4346" priority="5324" operator="endsWith" text="x">
      <formula>RIGHT(B297,LEN("x"))="x"</formula>
    </cfRule>
  </conditionalFormatting>
  <conditionalFormatting sqref="B298">
    <cfRule type="endsWith" dxfId="4345" priority="5323" operator="endsWith" text="x">
      <formula>RIGHT(B298,LEN("x"))="x"</formula>
    </cfRule>
  </conditionalFormatting>
  <conditionalFormatting sqref="B299">
    <cfRule type="endsWith" dxfId="4344" priority="5322" operator="endsWith" text="x">
      <formula>RIGHT(B299,LEN("x"))="x"</formula>
    </cfRule>
  </conditionalFormatting>
  <conditionalFormatting sqref="B300">
    <cfRule type="endsWith" dxfId="4343" priority="5321" operator="endsWith" text="x">
      <formula>RIGHT(B300,LEN("x"))="x"</formula>
    </cfRule>
  </conditionalFormatting>
  <conditionalFormatting sqref="H300:K301">
    <cfRule type="endsWith" dxfId="4342" priority="5320" operator="endsWith" text="x">
      <formula>RIGHT(H300,LEN("x"))="x"</formula>
    </cfRule>
  </conditionalFormatting>
  <conditionalFormatting sqref="A300:K300 A297:G299 A301 C301:K301">
    <cfRule type="endsWith" dxfId="4341" priority="5318" operator="endsWith" text="x">
      <formula>RIGHT(A297,LEN("x"))="x"</formula>
    </cfRule>
  </conditionalFormatting>
  <conditionalFormatting sqref="C297">
    <cfRule type="endsWith" dxfId="4340" priority="5317" operator="endsWith" text="x">
      <formula>RIGHT(C297,LEN("x"))="x"</formula>
    </cfRule>
  </conditionalFormatting>
  <conditionalFormatting sqref="C297">
    <cfRule type="endsWith" dxfId="4339" priority="5316" operator="endsWith" text="x">
      <formula>RIGHT(C297,LEN("x"))="x"</formula>
    </cfRule>
  </conditionalFormatting>
  <conditionalFormatting sqref="C298">
    <cfRule type="endsWith" dxfId="4338" priority="5315" operator="endsWith" text="x">
      <formula>RIGHT(C298,LEN("x"))="x"</formula>
    </cfRule>
  </conditionalFormatting>
  <conditionalFormatting sqref="C298">
    <cfRule type="endsWith" dxfId="4337" priority="5314" operator="endsWith" text="x">
      <formula>RIGHT(C298,LEN("x"))="x"</formula>
    </cfRule>
  </conditionalFormatting>
  <conditionalFormatting sqref="C299">
    <cfRule type="endsWith" dxfId="4336" priority="5313" operator="endsWith" text="x">
      <formula>RIGHT(C299,LEN("x"))="x"</formula>
    </cfRule>
  </conditionalFormatting>
  <conditionalFormatting sqref="C299">
    <cfRule type="endsWith" dxfId="4335" priority="5312" operator="endsWith" text="x">
      <formula>RIGHT(C299,LEN("x"))="x"</formula>
    </cfRule>
  </conditionalFormatting>
  <conditionalFormatting sqref="C300">
    <cfRule type="endsWith" dxfId="4334" priority="5311" operator="endsWith" text="x">
      <formula>RIGHT(C300,LEN("x"))="x"</formula>
    </cfRule>
  </conditionalFormatting>
  <conditionalFormatting sqref="C300">
    <cfRule type="endsWith" dxfId="4333" priority="5310" operator="endsWith" text="x">
      <formula>RIGHT(C300,LEN("x"))="x"</formula>
    </cfRule>
  </conditionalFormatting>
  <conditionalFormatting sqref="C301">
    <cfRule type="endsWith" dxfId="4332" priority="5309" operator="endsWith" text="x">
      <formula>RIGHT(C301,LEN("x"))="x"</formula>
    </cfRule>
  </conditionalFormatting>
  <conditionalFormatting sqref="C301">
    <cfRule type="endsWith" dxfId="4331" priority="5308" operator="endsWith" text="x">
      <formula>RIGHT(C301,LEN("x"))="x"</formula>
    </cfRule>
  </conditionalFormatting>
  <conditionalFormatting sqref="E297">
    <cfRule type="endsWith" dxfId="4330" priority="5307" operator="endsWith" text="x">
      <formula>RIGHT(E297,LEN("x"))="x"</formula>
    </cfRule>
  </conditionalFormatting>
  <conditionalFormatting sqref="E297">
    <cfRule type="endsWith" dxfId="4329" priority="5306" operator="endsWith" text="x">
      <formula>RIGHT(E297,LEN("x"))="x"</formula>
    </cfRule>
  </conditionalFormatting>
  <conditionalFormatting sqref="E298">
    <cfRule type="endsWith" dxfId="4328" priority="5305" operator="endsWith" text="x">
      <formula>RIGHT(E298,LEN("x"))="x"</formula>
    </cfRule>
  </conditionalFormatting>
  <conditionalFormatting sqref="E298">
    <cfRule type="endsWith" dxfId="4327" priority="5304" operator="endsWith" text="x">
      <formula>RIGHT(E298,LEN("x"))="x"</formula>
    </cfRule>
  </conditionalFormatting>
  <conditionalFormatting sqref="E299">
    <cfRule type="endsWith" dxfId="4326" priority="5303" operator="endsWith" text="x">
      <formula>RIGHT(E299,LEN("x"))="x"</formula>
    </cfRule>
  </conditionalFormatting>
  <conditionalFormatting sqref="E299">
    <cfRule type="endsWith" dxfId="4325" priority="5302" operator="endsWith" text="x">
      <formula>RIGHT(E299,LEN("x"))="x"</formula>
    </cfRule>
  </conditionalFormatting>
  <conditionalFormatting sqref="E300">
    <cfRule type="endsWith" dxfId="4324" priority="5301" operator="endsWith" text="x">
      <formula>RIGHT(E300,LEN("x"))="x"</formula>
    </cfRule>
  </conditionalFormatting>
  <conditionalFormatting sqref="E300">
    <cfRule type="endsWith" dxfId="4323" priority="5300" operator="endsWith" text="x">
      <formula>RIGHT(E300,LEN("x"))="x"</formula>
    </cfRule>
  </conditionalFormatting>
  <conditionalFormatting sqref="E301">
    <cfRule type="endsWith" dxfId="4322" priority="5299" operator="endsWith" text="x">
      <formula>RIGHT(E301,LEN("x"))="x"</formula>
    </cfRule>
  </conditionalFormatting>
  <conditionalFormatting sqref="E301">
    <cfRule type="endsWith" dxfId="4321" priority="5298" operator="endsWith" text="x">
      <formula>RIGHT(E301,LEN("x"))="x"</formula>
    </cfRule>
  </conditionalFormatting>
  <conditionalFormatting sqref="D298">
    <cfRule type="endsWith" dxfId="4320" priority="5297" operator="endsWith" text="x">
      <formula>RIGHT(D298,LEN("x"))="x"</formula>
    </cfRule>
  </conditionalFormatting>
  <conditionalFormatting sqref="D299">
    <cfRule type="endsWith" dxfId="4319" priority="5296" operator="endsWith" text="x">
      <formula>RIGHT(D299,LEN("x"))="x"</formula>
    </cfRule>
  </conditionalFormatting>
  <conditionalFormatting sqref="D300">
    <cfRule type="endsWith" dxfId="4318" priority="5295" operator="endsWith" text="x">
      <formula>RIGHT(D300,LEN("x"))="x"</formula>
    </cfRule>
  </conditionalFormatting>
  <conditionalFormatting sqref="D300">
    <cfRule type="endsWith" dxfId="4317" priority="5294" operator="endsWith" text="x">
      <formula>RIGHT(D300,LEN("x"))="x"</formula>
    </cfRule>
  </conditionalFormatting>
  <conditionalFormatting sqref="D301">
    <cfRule type="endsWith" dxfId="4316" priority="5293" operator="endsWith" text="x">
      <formula>RIGHT(D301,LEN("x"))="x"</formula>
    </cfRule>
  </conditionalFormatting>
  <conditionalFormatting sqref="F297">
    <cfRule type="endsWith" dxfId="4315" priority="5292" operator="endsWith" text="x">
      <formula>RIGHT(F297,LEN("x"))="x"</formula>
    </cfRule>
  </conditionalFormatting>
  <conditionalFormatting sqref="F297">
    <cfRule type="endsWith" dxfId="4314" priority="5291" operator="endsWith" text="x">
      <formula>RIGHT(F297,LEN("x"))="x"</formula>
    </cfRule>
  </conditionalFormatting>
  <conditionalFormatting sqref="F298">
    <cfRule type="endsWith" dxfId="4313" priority="5290" operator="endsWith" text="x">
      <formula>RIGHT(F298,LEN("x"))="x"</formula>
    </cfRule>
  </conditionalFormatting>
  <conditionalFormatting sqref="F298">
    <cfRule type="endsWith" dxfId="4312" priority="5289" operator="endsWith" text="x">
      <formula>RIGHT(F298,LEN("x"))="x"</formula>
    </cfRule>
  </conditionalFormatting>
  <conditionalFormatting sqref="F299">
    <cfRule type="endsWith" dxfId="4311" priority="5288" operator="endsWith" text="x">
      <formula>RIGHT(F299,LEN("x"))="x"</formula>
    </cfRule>
  </conditionalFormatting>
  <conditionalFormatting sqref="F299">
    <cfRule type="endsWith" dxfId="4310" priority="5287" operator="endsWith" text="x">
      <formula>RIGHT(F299,LEN("x"))="x"</formula>
    </cfRule>
  </conditionalFormatting>
  <conditionalFormatting sqref="F300">
    <cfRule type="endsWith" dxfId="4309" priority="5286" operator="endsWith" text="x">
      <formula>RIGHT(F300,LEN("x"))="x"</formula>
    </cfRule>
  </conditionalFormatting>
  <conditionalFormatting sqref="F300">
    <cfRule type="endsWith" dxfId="4308" priority="5285" operator="endsWith" text="x">
      <formula>RIGHT(F300,LEN("x"))="x"</formula>
    </cfRule>
  </conditionalFormatting>
  <conditionalFormatting sqref="F301">
    <cfRule type="endsWith" dxfId="4307" priority="5284" operator="endsWith" text="x">
      <formula>RIGHT(F301,LEN("x"))="x"</formula>
    </cfRule>
  </conditionalFormatting>
  <conditionalFormatting sqref="G297:G301">
    <cfRule type="endsWith" dxfId="4306" priority="5283" operator="endsWith" text="x">
      <formula>RIGHT(G297,LEN("x"))="x"</formula>
    </cfRule>
  </conditionalFormatting>
  <conditionalFormatting sqref="G298">
    <cfRule type="endsWith" dxfId="4305" priority="5282" operator="endsWith" text="x">
      <formula>RIGHT(G298,LEN("x"))="x"</formula>
    </cfRule>
  </conditionalFormatting>
  <conditionalFormatting sqref="G300">
    <cfRule type="endsWith" dxfId="4304" priority="5281" operator="endsWith" text="x">
      <formula>RIGHT(G300,LEN("x"))="x"</formula>
    </cfRule>
  </conditionalFormatting>
  <conditionalFormatting sqref="B297:B300">
    <cfRule type="endsWith" dxfId="4303" priority="5280" operator="endsWith" text="x">
      <formula>RIGHT(B297,LEN("x"))="x"</formula>
    </cfRule>
  </conditionalFormatting>
  <conditionalFormatting sqref="B298">
    <cfRule type="endsWith" dxfId="4302" priority="5279" operator="endsWith" text="x">
      <formula>RIGHT(B298,LEN("x"))="x"</formula>
    </cfRule>
  </conditionalFormatting>
  <conditionalFormatting sqref="B299">
    <cfRule type="endsWith" dxfId="4301" priority="5278" operator="endsWith" text="x">
      <formula>RIGHT(B299,LEN("x"))="x"</formula>
    </cfRule>
  </conditionalFormatting>
  <conditionalFormatting sqref="B300">
    <cfRule type="endsWith" dxfId="4300" priority="5277" operator="endsWith" text="x">
      <formula>RIGHT(B300,LEN("x"))="x"</formula>
    </cfRule>
  </conditionalFormatting>
  <conditionalFormatting sqref="H300:K301">
    <cfRule type="endsWith" dxfId="4299" priority="5276" operator="endsWith" text="x">
      <formula>RIGHT(H300,LEN("x"))="x"</formula>
    </cfRule>
  </conditionalFormatting>
  <conditionalFormatting sqref="A300:K300 A297:G299 A301 C301:K301">
    <cfRule type="endsWith" dxfId="4298" priority="5274" operator="endsWith" text="x">
      <formula>RIGHT(A297,LEN("x"))="x"</formula>
    </cfRule>
  </conditionalFormatting>
  <conditionalFormatting sqref="C297">
    <cfRule type="endsWith" dxfId="4297" priority="5273" operator="endsWith" text="x">
      <formula>RIGHT(C297,LEN("x"))="x"</formula>
    </cfRule>
  </conditionalFormatting>
  <conditionalFormatting sqref="C297">
    <cfRule type="endsWith" dxfId="4296" priority="5272" operator="endsWith" text="x">
      <formula>RIGHT(C297,LEN("x"))="x"</formula>
    </cfRule>
  </conditionalFormatting>
  <conditionalFormatting sqref="C298">
    <cfRule type="endsWith" dxfId="4295" priority="5271" operator="endsWith" text="x">
      <formula>RIGHT(C298,LEN("x"))="x"</formula>
    </cfRule>
  </conditionalFormatting>
  <conditionalFormatting sqref="C298">
    <cfRule type="endsWith" dxfId="4294" priority="5270" operator="endsWith" text="x">
      <formula>RIGHT(C298,LEN("x"))="x"</formula>
    </cfRule>
  </conditionalFormatting>
  <conditionalFormatting sqref="C299">
    <cfRule type="endsWith" dxfId="4293" priority="5269" operator="endsWith" text="x">
      <formula>RIGHT(C299,LEN("x"))="x"</formula>
    </cfRule>
  </conditionalFormatting>
  <conditionalFormatting sqref="C299">
    <cfRule type="endsWith" dxfId="4292" priority="5268" operator="endsWith" text="x">
      <formula>RIGHT(C299,LEN("x"))="x"</formula>
    </cfRule>
  </conditionalFormatting>
  <conditionalFormatting sqref="C300">
    <cfRule type="endsWith" dxfId="4291" priority="5267" operator="endsWith" text="x">
      <formula>RIGHT(C300,LEN("x"))="x"</formula>
    </cfRule>
  </conditionalFormatting>
  <conditionalFormatting sqref="C300">
    <cfRule type="endsWith" dxfId="4290" priority="5266" operator="endsWith" text="x">
      <formula>RIGHT(C300,LEN("x"))="x"</formula>
    </cfRule>
  </conditionalFormatting>
  <conditionalFormatting sqref="C301">
    <cfRule type="endsWith" dxfId="4289" priority="5265" operator="endsWith" text="x">
      <formula>RIGHT(C301,LEN("x"))="x"</formula>
    </cfRule>
  </conditionalFormatting>
  <conditionalFormatting sqref="C301">
    <cfRule type="endsWith" dxfId="4288" priority="5264" operator="endsWith" text="x">
      <formula>RIGHT(C301,LEN("x"))="x"</formula>
    </cfRule>
  </conditionalFormatting>
  <conditionalFormatting sqref="E297">
    <cfRule type="endsWith" dxfId="4287" priority="5263" operator="endsWith" text="x">
      <formula>RIGHT(E297,LEN("x"))="x"</formula>
    </cfRule>
  </conditionalFormatting>
  <conditionalFormatting sqref="E297">
    <cfRule type="endsWith" dxfId="4286" priority="5262" operator="endsWith" text="x">
      <formula>RIGHT(E297,LEN("x"))="x"</formula>
    </cfRule>
  </conditionalFormatting>
  <conditionalFormatting sqref="E298">
    <cfRule type="endsWith" dxfId="4285" priority="5261" operator="endsWith" text="x">
      <formula>RIGHT(E298,LEN("x"))="x"</formula>
    </cfRule>
  </conditionalFormatting>
  <conditionalFormatting sqref="E298">
    <cfRule type="endsWith" dxfId="4284" priority="5260" operator="endsWith" text="x">
      <formula>RIGHT(E298,LEN("x"))="x"</formula>
    </cfRule>
  </conditionalFormatting>
  <conditionalFormatting sqref="E299">
    <cfRule type="endsWith" dxfId="4283" priority="5259" operator="endsWith" text="x">
      <formula>RIGHT(E299,LEN("x"))="x"</formula>
    </cfRule>
  </conditionalFormatting>
  <conditionalFormatting sqref="E299">
    <cfRule type="endsWith" dxfId="4282" priority="5258" operator="endsWith" text="x">
      <formula>RIGHT(E299,LEN("x"))="x"</formula>
    </cfRule>
  </conditionalFormatting>
  <conditionalFormatting sqref="E300">
    <cfRule type="endsWith" dxfId="4281" priority="5257" operator="endsWith" text="x">
      <formula>RIGHT(E300,LEN("x"))="x"</formula>
    </cfRule>
  </conditionalFormatting>
  <conditionalFormatting sqref="E300">
    <cfRule type="endsWith" dxfId="4280" priority="5256" operator="endsWith" text="x">
      <formula>RIGHT(E300,LEN("x"))="x"</formula>
    </cfRule>
  </conditionalFormatting>
  <conditionalFormatting sqref="E301">
    <cfRule type="endsWith" dxfId="4279" priority="5255" operator="endsWith" text="x">
      <formula>RIGHT(E301,LEN("x"))="x"</formula>
    </cfRule>
  </conditionalFormatting>
  <conditionalFormatting sqref="E301">
    <cfRule type="endsWith" dxfId="4278" priority="5254" operator="endsWith" text="x">
      <formula>RIGHT(E301,LEN("x"))="x"</formula>
    </cfRule>
  </conditionalFormatting>
  <conditionalFormatting sqref="D298">
    <cfRule type="endsWith" dxfId="4277" priority="5253" operator="endsWith" text="x">
      <formula>RIGHT(D298,LEN("x"))="x"</formula>
    </cfRule>
  </conditionalFormatting>
  <conditionalFormatting sqref="D299">
    <cfRule type="endsWith" dxfId="4276" priority="5252" operator="endsWith" text="x">
      <formula>RIGHT(D299,LEN("x"))="x"</formula>
    </cfRule>
  </conditionalFormatting>
  <conditionalFormatting sqref="D300">
    <cfRule type="endsWith" dxfId="4275" priority="5251" operator="endsWith" text="x">
      <formula>RIGHT(D300,LEN("x"))="x"</formula>
    </cfRule>
  </conditionalFormatting>
  <conditionalFormatting sqref="D300">
    <cfRule type="endsWith" dxfId="4274" priority="5250" operator="endsWith" text="x">
      <formula>RIGHT(D300,LEN("x"))="x"</formula>
    </cfRule>
  </conditionalFormatting>
  <conditionalFormatting sqref="D301">
    <cfRule type="endsWith" dxfId="4273" priority="5249" operator="endsWith" text="x">
      <formula>RIGHT(D301,LEN("x"))="x"</formula>
    </cfRule>
  </conditionalFormatting>
  <conditionalFormatting sqref="F297">
    <cfRule type="endsWith" dxfId="4272" priority="5248" operator="endsWith" text="x">
      <formula>RIGHT(F297,LEN("x"))="x"</formula>
    </cfRule>
  </conditionalFormatting>
  <conditionalFormatting sqref="F297">
    <cfRule type="endsWith" dxfId="4271" priority="5247" operator="endsWith" text="x">
      <formula>RIGHT(F297,LEN("x"))="x"</formula>
    </cfRule>
  </conditionalFormatting>
  <conditionalFormatting sqref="F298">
    <cfRule type="endsWith" dxfId="4270" priority="5246" operator="endsWith" text="x">
      <formula>RIGHT(F298,LEN("x"))="x"</formula>
    </cfRule>
  </conditionalFormatting>
  <conditionalFormatting sqref="F298">
    <cfRule type="endsWith" dxfId="4269" priority="5245" operator="endsWith" text="x">
      <formula>RIGHT(F298,LEN("x"))="x"</formula>
    </cfRule>
  </conditionalFormatting>
  <conditionalFormatting sqref="F299">
    <cfRule type="endsWith" dxfId="4268" priority="5244" operator="endsWith" text="x">
      <formula>RIGHT(F299,LEN("x"))="x"</formula>
    </cfRule>
  </conditionalFormatting>
  <conditionalFormatting sqref="F299">
    <cfRule type="endsWith" dxfId="4267" priority="5243" operator="endsWith" text="x">
      <formula>RIGHT(F299,LEN("x"))="x"</formula>
    </cfRule>
  </conditionalFormatting>
  <conditionalFormatting sqref="F300">
    <cfRule type="endsWith" dxfId="4266" priority="5242" operator="endsWith" text="x">
      <formula>RIGHT(F300,LEN("x"))="x"</formula>
    </cfRule>
  </conditionalFormatting>
  <conditionalFormatting sqref="F300">
    <cfRule type="endsWith" dxfId="4265" priority="5241" operator="endsWith" text="x">
      <formula>RIGHT(F300,LEN("x"))="x"</formula>
    </cfRule>
  </conditionalFormatting>
  <conditionalFormatting sqref="F301">
    <cfRule type="endsWith" dxfId="4264" priority="5240" operator="endsWith" text="x">
      <formula>RIGHT(F301,LEN("x"))="x"</formula>
    </cfRule>
  </conditionalFormatting>
  <conditionalFormatting sqref="G297:G301">
    <cfRule type="endsWith" dxfId="4263" priority="5239" operator="endsWith" text="x">
      <formula>RIGHT(G297,LEN("x"))="x"</formula>
    </cfRule>
  </conditionalFormatting>
  <conditionalFormatting sqref="G298">
    <cfRule type="endsWith" dxfId="4262" priority="5238" operator="endsWith" text="x">
      <formula>RIGHT(G298,LEN("x"))="x"</formula>
    </cfRule>
  </conditionalFormatting>
  <conditionalFormatting sqref="G300">
    <cfRule type="endsWith" dxfId="4261" priority="5237" operator="endsWith" text="x">
      <formula>RIGHT(G300,LEN("x"))="x"</formula>
    </cfRule>
  </conditionalFormatting>
  <conditionalFormatting sqref="B297:B300">
    <cfRule type="endsWith" dxfId="4260" priority="5236" operator="endsWith" text="x">
      <formula>RIGHT(B297,LEN("x"))="x"</formula>
    </cfRule>
  </conditionalFormatting>
  <conditionalFormatting sqref="B298">
    <cfRule type="endsWith" dxfId="4259" priority="5235" operator="endsWith" text="x">
      <formula>RIGHT(B298,LEN("x"))="x"</formula>
    </cfRule>
  </conditionalFormatting>
  <conditionalFormatting sqref="B299">
    <cfRule type="endsWith" dxfId="4258" priority="5234" operator="endsWith" text="x">
      <formula>RIGHT(B299,LEN("x"))="x"</formula>
    </cfRule>
  </conditionalFormatting>
  <conditionalFormatting sqref="B300">
    <cfRule type="endsWith" dxfId="4257" priority="5233" operator="endsWith" text="x">
      <formula>RIGHT(B300,LEN("x"))="x"</formula>
    </cfRule>
  </conditionalFormatting>
  <conditionalFormatting sqref="H300:K301">
    <cfRule type="endsWith" dxfId="4256" priority="5232" operator="endsWith" text="x">
      <formula>RIGHT(H300,LEN("x"))="x"</formula>
    </cfRule>
  </conditionalFormatting>
  <conditionalFormatting sqref="D297">
    <cfRule type="endsWith" dxfId="4255" priority="5230" operator="endsWith" text="x">
      <formula>RIGHT(D297,LEN("x"))="x"</formula>
    </cfRule>
  </conditionalFormatting>
  <conditionalFormatting sqref="A364:K364 A361:G363 A365 C365:K365">
    <cfRule type="endsWith" dxfId="4254" priority="5229" operator="endsWith" text="x">
      <formula>RIGHT(A361,LEN("x"))="x"</formula>
    </cfRule>
  </conditionalFormatting>
  <conditionalFormatting sqref="C361">
    <cfRule type="endsWith" dxfId="4253" priority="5228" operator="endsWith" text="x">
      <formula>RIGHT(C361,LEN("x"))="x"</formula>
    </cfRule>
  </conditionalFormatting>
  <conditionalFormatting sqref="C361">
    <cfRule type="endsWith" dxfId="4252" priority="5227" operator="endsWith" text="x">
      <formula>RIGHT(C361,LEN("x"))="x"</formula>
    </cfRule>
  </conditionalFormatting>
  <conditionalFormatting sqref="C362">
    <cfRule type="endsWith" dxfId="4251" priority="5226" operator="endsWith" text="x">
      <formula>RIGHT(C362,LEN("x"))="x"</formula>
    </cfRule>
  </conditionalFormatting>
  <conditionalFormatting sqref="C362">
    <cfRule type="endsWith" dxfId="4250" priority="5225" operator="endsWith" text="x">
      <formula>RIGHT(C362,LEN("x"))="x"</formula>
    </cfRule>
  </conditionalFormatting>
  <conditionalFormatting sqref="C363">
    <cfRule type="endsWith" dxfId="4249" priority="5224" operator="endsWith" text="x">
      <formula>RIGHT(C363,LEN("x"))="x"</formula>
    </cfRule>
  </conditionalFormatting>
  <conditionalFormatting sqref="C363">
    <cfRule type="endsWith" dxfId="4248" priority="5223" operator="endsWith" text="x">
      <formula>RIGHT(C363,LEN("x"))="x"</formula>
    </cfRule>
  </conditionalFormatting>
  <conditionalFormatting sqref="C364">
    <cfRule type="endsWith" dxfId="4247" priority="5222" operator="endsWith" text="x">
      <formula>RIGHT(C364,LEN("x"))="x"</formula>
    </cfRule>
  </conditionalFormatting>
  <conditionalFormatting sqref="C364">
    <cfRule type="endsWith" dxfId="4246" priority="5221" operator="endsWith" text="x">
      <formula>RIGHT(C364,LEN("x"))="x"</formula>
    </cfRule>
  </conditionalFormatting>
  <conditionalFormatting sqref="C365">
    <cfRule type="endsWith" dxfId="4245" priority="5220" operator="endsWith" text="x">
      <formula>RIGHT(C365,LEN("x"))="x"</formula>
    </cfRule>
  </conditionalFormatting>
  <conditionalFormatting sqref="C365">
    <cfRule type="endsWith" dxfId="4244" priority="5219" operator="endsWith" text="x">
      <formula>RIGHT(C365,LEN("x"))="x"</formula>
    </cfRule>
  </conditionalFormatting>
  <conditionalFormatting sqref="E361">
    <cfRule type="endsWith" dxfId="4243" priority="5218" operator="endsWith" text="x">
      <formula>RIGHT(E361,LEN("x"))="x"</formula>
    </cfRule>
  </conditionalFormatting>
  <conditionalFormatting sqref="E361">
    <cfRule type="endsWith" dxfId="4242" priority="5217" operator="endsWith" text="x">
      <formula>RIGHT(E361,LEN("x"))="x"</formula>
    </cfRule>
  </conditionalFormatting>
  <conditionalFormatting sqref="E362">
    <cfRule type="endsWith" dxfId="4241" priority="5216" operator="endsWith" text="x">
      <formula>RIGHT(E362,LEN("x"))="x"</formula>
    </cfRule>
  </conditionalFormatting>
  <conditionalFormatting sqref="E362">
    <cfRule type="endsWith" dxfId="4240" priority="5215" operator="endsWith" text="x">
      <formula>RIGHT(E362,LEN("x"))="x"</formula>
    </cfRule>
  </conditionalFormatting>
  <conditionalFormatting sqref="E363">
    <cfRule type="endsWith" dxfId="4239" priority="5214" operator="endsWith" text="x">
      <formula>RIGHT(E363,LEN("x"))="x"</formula>
    </cfRule>
  </conditionalFormatting>
  <conditionalFormatting sqref="E363">
    <cfRule type="endsWith" dxfId="4238" priority="5213" operator="endsWith" text="x">
      <formula>RIGHT(E363,LEN("x"))="x"</formula>
    </cfRule>
  </conditionalFormatting>
  <conditionalFormatting sqref="E364">
    <cfRule type="endsWith" dxfId="4237" priority="5212" operator="endsWith" text="x">
      <formula>RIGHT(E364,LEN("x"))="x"</formula>
    </cfRule>
  </conditionalFormatting>
  <conditionalFormatting sqref="E364">
    <cfRule type="endsWith" dxfId="4236" priority="5211" operator="endsWith" text="x">
      <formula>RIGHT(E364,LEN("x"))="x"</formula>
    </cfRule>
  </conditionalFormatting>
  <conditionalFormatting sqref="E365">
    <cfRule type="endsWith" dxfId="4235" priority="5210" operator="endsWith" text="x">
      <formula>RIGHT(E365,LEN("x"))="x"</formula>
    </cfRule>
  </conditionalFormatting>
  <conditionalFormatting sqref="E365">
    <cfRule type="endsWith" dxfId="4234" priority="5209" operator="endsWith" text="x">
      <formula>RIGHT(E365,LEN("x"))="x"</formula>
    </cfRule>
  </conditionalFormatting>
  <conditionalFormatting sqref="D362">
    <cfRule type="endsWith" dxfId="4233" priority="5208" operator="endsWith" text="x">
      <formula>RIGHT(D362,LEN("x"))="x"</formula>
    </cfRule>
  </conditionalFormatting>
  <conditionalFormatting sqref="D363">
    <cfRule type="endsWith" dxfId="4232" priority="5207" operator="endsWith" text="x">
      <formula>RIGHT(D363,LEN("x"))="x"</formula>
    </cfRule>
  </conditionalFormatting>
  <conditionalFormatting sqref="D364">
    <cfRule type="endsWith" dxfId="4231" priority="5206" operator="endsWith" text="x">
      <formula>RIGHT(D364,LEN("x"))="x"</formula>
    </cfRule>
  </conditionalFormatting>
  <conditionalFormatting sqref="D364">
    <cfRule type="endsWith" dxfId="4230" priority="5205" operator="endsWith" text="x">
      <formula>RIGHT(D364,LEN("x"))="x"</formula>
    </cfRule>
  </conditionalFormatting>
  <conditionalFormatting sqref="D365">
    <cfRule type="endsWith" dxfId="4229" priority="5204" operator="endsWith" text="x">
      <formula>RIGHT(D365,LEN("x"))="x"</formula>
    </cfRule>
  </conditionalFormatting>
  <conditionalFormatting sqref="F361">
    <cfRule type="endsWith" dxfId="4228" priority="5203" operator="endsWith" text="x">
      <formula>RIGHT(F361,LEN("x"))="x"</formula>
    </cfRule>
  </conditionalFormatting>
  <conditionalFormatting sqref="F361">
    <cfRule type="endsWith" dxfId="4227" priority="5202" operator="endsWith" text="x">
      <formula>RIGHT(F361,LEN("x"))="x"</formula>
    </cfRule>
  </conditionalFormatting>
  <conditionalFormatting sqref="F362">
    <cfRule type="endsWith" dxfId="4226" priority="5201" operator="endsWith" text="x">
      <formula>RIGHT(F362,LEN("x"))="x"</formula>
    </cfRule>
  </conditionalFormatting>
  <conditionalFormatting sqref="F362">
    <cfRule type="endsWith" dxfId="4225" priority="5200" operator="endsWith" text="x">
      <formula>RIGHT(F362,LEN("x"))="x"</formula>
    </cfRule>
  </conditionalFormatting>
  <conditionalFormatting sqref="F363">
    <cfRule type="endsWith" dxfId="4224" priority="5199" operator="endsWith" text="x">
      <formula>RIGHT(F363,LEN("x"))="x"</formula>
    </cfRule>
  </conditionalFormatting>
  <conditionalFormatting sqref="F363">
    <cfRule type="endsWith" dxfId="4223" priority="5198" operator="endsWith" text="x">
      <formula>RIGHT(F363,LEN("x"))="x"</formula>
    </cfRule>
  </conditionalFormatting>
  <conditionalFormatting sqref="F364">
    <cfRule type="endsWith" dxfId="4222" priority="5197" operator="endsWith" text="x">
      <formula>RIGHT(F364,LEN("x"))="x"</formula>
    </cfRule>
  </conditionalFormatting>
  <conditionalFormatting sqref="F364">
    <cfRule type="endsWith" dxfId="4221" priority="5196" operator="endsWith" text="x">
      <formula>RIGHT(F364,LEN("x"))="x"</formula>
    </cfRule>
  </conditionalFormatting>
  <conditionalFormatting sqref="F365">
    <cfRule type="endsWith" dxfId="4220" priority="5195" operator="endsWith" text="x">
      <formula>RIGHT(F365,LEN("x"))="x"</formula>
    </cfRule>
  </conditionalFormatting>
  <conditionalFormatting sqref="G361:G365">
    <cfRule type="endsWith" dxfId="4219" priority="5194" operator="endsWith" text="x">
      <formula>RIGHT(G361,LEN("x"))="x"</formula>
    </cfRule>
  </conditionalFormatting>
  <conditionalFormatting sqref="G362">
    <cfRule type="endsWith" dxfId="4218" priority="5193" operator="endsWith" text="x">
      <formula>RIGHT(G362,LEN("x"))="x"</formula>
    </cfRule>
  </conditionalFormatting>
  <conditionalFormatting sqref="G364">
    <cfRule type="endsWith" dxfId="4217" priority="5192" operator="endsWith" text="x">
      <formula>RIGHT(G364,LEN("x"))="x"</formula>
    </cfRule>
  </conditionalFormatting>
  <conditionalFormatting sqref="B361:B364">
    <cfRule type="endsWith" dxfId="4216" priority="5191" operator="endsWith" text="x">
      <formula>RIGHT(B361,LEN("x"))="x"</formula>
    </cfRule>
  </conditionalFormatting>
  <conditionalFormatting sqref="B362">
    <cfRule type="endsWith" dxfId="4215" priority="5190" operator="endsWith" text="x">
      <formula>RIGHT(B362,LEN("x"))="x"</formula>
    </cfRule>
  </conditionalFormatting>
  <conditionalFormatting sqref="B363">
    <cfRule type="endsWith" dxfId="4214" priority="5189" operator="endsWith" text="x">
      <formula>RIGHT(B363,LEN("x"))="x"</formula>
    </cfRule>
  </conditionalFormatting>
  <conditionalFormatting sqref="B364">
    <cfRule type="endsWith" dxfId="4213" priority="5188" operator="endsWith" text="x">
      <formula>RIGHT(B364,LEN("x"))="x"</formula>
    </cfRule>
  </conditionalFormatting>
  <conditionalFormatting sqref="H364:K365">
    <cfRule type="endsWith" dxfId="4212" priority="5187" operator="endsWith" text="x">
      <formula>RIGHT(H364,LEN("x"))="x"</formula>
    </cfRule>
  </conditionalFormatting>
  <conditionalFormatting sqref="A364:K364 A361:G363 A365 C365:K365">
    <cfRule type="endsWith" dxfId="4211" priority="5185" operator="endsWith" text="x">
      <formula>RIGHT(A361,LEN("x"))="x"</formula>
    </cfRule>
  </conditionalFormatting>
  <conditionalFormatting sqref="C361">
    <cfRule type="endsWith" dxfId="4210" priority="5184" operator="endsWith" text="x">
      <formula>RIGHT(C361,LEN("x"))="x"</formula>
    </cfRule>
  </conditionalFormatting>
  <conditionalFormatting sqref="C361">
    <cfRule type="endsWith" dxfId="4209" priority="5183" operator="endsWith" text="x">
      <formula>RIGHT(C361,LEN("x"))="x"</formula>
    </cfRule>
  </conditionalFormatting>
  <conditionalFormatting sqref="C362">
    <cfRule type="endsWith" dxfId="4208" priority="5182" operator="endsWith" text="x">
      <formula>RIGHT(C362,LEN("x"))="x"</formula>
    </cfRule>
  </conditionalFormatting>
  <conditionalFormatting sqref="C362">
    <cfRule type="endsWith" dxfId="4207" priority="5181" operator="endsWith" text="x">
      <formula>RIGHT(C362,LEN("x"))="x"</formula>
    </cfRule>
  </conditionalFormatting>
  <conditionalFormatting sqref="C363">
    <cfRule type="endsWith" dxfId="4206" priority="5180" operator="endsWith" text="x">
      <formula>RIGHT(C363,LEN("x"))="x"</formula>
    </cfRule>
  </conditionalFormatting>
  <conditionalFormatting sqref="C363">
    <cfRule type="endsWith" dxfId="4205" priority="5179" operator="endsWith" text="x">
      <formula>RIGHT(C363,LEN("x"))="x"</formula>
    </cfRule>
  </conditionalFormatting>
  <conditionalFormatting sqref="C364">
    <cfRule type="endsWith" dxfId="4204" priority="5178" operator="endsWith" text="x">
      <formula>RIGHT(C364,LEN("x"))="x"</formula>
    </cfRule>
  </conditionalFormatting>
  <conditionalFormatting sqref="C364">
    <cfRule type="endsWith" dxfId="4203" priority="5177" operator="endsWith" text="x">
      <formula>RIGHT(C364,LEN("x"))="x"</formula>
    </cfRule>
  </conditionalFormatting>
  <conditionalFormatting sqref="C365">
    <cfRule type="endsWith" dxfId="4202" priority="5176" operator="endsWith" text="x">
      <formula>RIGHT(C365,LEN("x"))="x"</formula>
    </cfRule>
  </conditionalFormatting>
  <conditionalFormatting sqref="C365">
    <cfRule type="endsWith" dxfId="4201" priority="5175" operator="endsWith" text="x">
      <formula>RIGHT(C365,LEN("x"))="x"</formula>
    </cfRule>
  </conditionalFormatting>
  <conditionalFormatting sqref="E361">
    <cfRule type="endsWith" dxfId="4200" priority="5174" operator="endsWith" text="x">
      <formula>RIGHT(E361,LEN("x"))="x"</formula>
    </cfRule>
  </conditionalFormatting>
  <conditionalFormatting sqref="E361">
    <cfRule type="endsWith" dxfId="4199" priority="5173" operator="endsWith" text="x">
      <formula>RIGHT(E361,LEN("x"))="x"</formula>
    </cfRule>
  </conditionalFormatting>
  <conditionalFormatting sqref="E362">
    <cfRule type="endsWith" dxfId="4198" priority="5172" operator="endsWith" text="x">
      <formula>RIGHT(E362,LEN("x"))="x"</formula>
    </cfRule>
  </conditionalFormatting>
  <conditionalFormatting sqref="E362">
    <cfRule type="endsWith" dxfId="4197" priority="5171" operator="endsWith" text="x">
      <formula>RIGHT(E362,LEN("x"))="x"</formula>
    </cfRule>
  </conditionalFormatting>
  <conditionalFormatting sqref="E363">
    <cfRule type="endsWith" dxfId="4196" priority="5170" operator="endsWith" text="x">
      <formula>RIGHT(E363,LEN("x"))="x"</formula>
    </cfRule>
  </conditionalFormatting>
  <conditionalFormatting sqref="E363">
    <cfRule type="endsWith" dxfId="4195" priority="5169" operator="endsWith" text="x">
      <formula>RIGHT(E363,LEN("x"))="x"</formula>
    </cfRule>
  </conditionalFormatting>
  <conditionalFormatting sqref="E364">
    <cfRule type="endsWith" dxfId="4194" priority="5168" operator="endsWith" text="x">
      <formula>RIGHT(E364,LEN("x"))="x"</formula>
    </cfRule>
  </conditionalFormatting>
  <conditionalFormatting sqref="E364">
    <cfRule type="endsWith" dxfId="4193" priority="5167" operator="endsWith" text="x">
      <formula>RIGHT(E364,LEN("x"))="x"</formula>
    </cfRule>
  </conditionalFormatting>
  <conditionalFormatting sqref="E365">
    <cfRule type="endsWith" dxfId="4192" priority="5166" operator="endsWith" text="x">
      <formula>RIGHT(E365,LEN("x"))="x"</formula>
    </cfRule>
  </conditionalFormatting>
  <conditionalFormatting sqref="E365">
    <cfRule type="endsWith" dxfId="4191" priority="5165" operator="endsWith" text="x">
      <formula>RIGHT(E365,LEN("x"))="x"</formula>
    </cfRule>
  </conditionalFormatting>
  <conditionalFormatting sqref="D362">
    <cfRule type="endsWith" dxfId="4190" priority="5164" operator="endsWith" text="x">
      <formula>RIGHT(D362,LEN("x"))="x"</formula>
    </cfRule>
  </conditionalFormatting>
  <conditionalFormatting sqref="D363">
    <cfRule type="endsWith" dxfId="4189" priority="5163" operator="endsWith" text="x">
      <formula>RIGHT(D363,LEN("x"))="x"</formula>
    </cfRule>
  </conditionalFormatting>
  <conditionalFormatting sqref="D364">
    <cfRule type="endsWith" dxfId="4188" priority="5162" operator="endsWith" text="x">
      <formula>RIGHT(D364,LEN("x"))="x"</formula>
    </cfRule>
  </conditionalFormatting>
  <conditionalFormatting sqref="D364">
    <cfRule type="endsWith" dxfId="4187" priority="5161" operator="endsWith" text="x">
      <formula>RIGHT(D364,LEN("x"))="x"</formula>
    </cfRule>
  </conditionalFormatting>
  <conditionalFormatting sqref="D365">
    <cfRule type="endsWith" dxfId="4186" priority="5160" operator="endsWith" text="x">
      <formula>RIGHT(D365,LEN("x"))="x"</formula>
    </cfRule>
  </conditionalFormatting>
  <conditionalFormatting sqref="F361">
    <cfRule type="endsWith" dxfId="4185" priority="5159" operator="endsWith" text="x">
      <formula>RIGHT(F361,LEN("x"))="x"</formula>
    </cfRule>
  </conditionalFormatting>
  <conditionalFormatting sqref="F361">
    <cfRule type="endsWith" dxfId="4184" priority="5158" operator="endsWith" text="x">
      <formula>RIGHT(F361,LEN("x"))="x"</formula>
    </cfRule>
  </conditionalFormatting>
  <conditionalFormatting sqref="F362">
    <cfRule type="endsWith" dxfId="4183" priority="5157" operator="endsWith" text="x">
      <formula>RIGHT(F362,LEN("x"))="x"</formula>
    </cfRule>
  </conditionalFormatting>
  <conditionalFormatting sqref="F362">
    <cfRule type="endsWith" dxfId="4182" priority="5156" operator="endsWith" text="x">
      <formula>RIGHT(F362,LEN("x"))="x"</formula>
    </cfRule>
  </conditionalFormatting>
  <conditionalFormatting sqref="F363">
    <cfRule type="endsWith" dxfId="4181" priority="5155" operator="endsWith" text="x">
      <formula>RIGHT(F363,LEN("x"))="x"</formula>
    </cfRule>
  </conditionalFormatting>
  <conditionalFormatting sqref="F363">
    <cfRule type="endsWith" dxfId="4180" priority="5154" operator="endsWith" text="x">
      <formula>RIGHT(F363,LEN("x"))="x"</formula>
    </cfRule>
  </conditionalFormatting>
  <conditionalFormatting sqref="F364">
    <cfRule type="endsWith" dxfId="4179" priority="5153" operator="endsWith" text="x">
      <formula>RIGHT(F364,LEN("x"))="x"</formula>
    </cfRule>
  </conditionalFormatting>
  <conditionalFormatting sqref="F364">
    <cfRule type="endsWith" dxfId="4178" priority="5152" operator="endsWith" text="x">
      <formula>RIGHT(F364,LEN("x"))="x"</formula>
    </cfRule>
  </conditionalFormatting>
  <conditionalFormatting sqref="F365">
    <cfRule type="endsWith" dxfId="4177" priority="5151" operator="endsWith" text="x">
      <formula>RIGHT(F365,LEN("x"))="x"</formula>
    </cfRule>
  </conditionalFormatting>
  <conditionalFormatting sqref="G361:G365">
    <cfRule type="endsWith" dxfId="4176" priority="5150" operator="endsWith" text="x">
      <formula>RIGHT(G361,LEN("x"))="x"</formula>
    </cfRule>
  </conditionalFormatting>
  <conditionalFormatting sqref="G362">
    <cfRule type="endsWith" dxfId="4175" priority="5149" operator="endsWith" text="x">
      <formula>RIGHT(G362,LEN("x"))="x"</formula>
    </cfRule>
  </conditionalFormatting>
  <conditionalFormatting sqref="G364">
    <cfRule type="endsWith" dxfId="4174" priority="5148" operator="endsWith" text="x">
      <formula>RIGHT(G364,LEN("x"))="x"</formula>
    </cfRule>
  </conditionalFormatting>
  <conditionalFormatting sqref="B361:B364">
    <cfRule type="endsWith" dxfId="4173" priority="5147" operator="endsWith" text="x">
      <formula>RIGHT(B361,LEN("x"))="x"</formula>
    </cfRule>
  </conditionalFormatting>
  <conditionalFormatting sqref="B362">
    <cfRule type="endsWith" dxfId="4172" priority="5146" operator="endsWith" text="x">
      <formula>RIGHT(B362,LEN("x"))="x"</formula>
    </cfRule>
  </conditionalFormatting>
  <conditionalFormatting sqref="B363">
    <cfRule type="endsWith" dxfId="4171" priority="5145" operator="endsWith" text="x">
      <formula>RIGHT(B363,LEN("x"))="x"</formula>
    </cfRule>
  </conditionalFormatting>
  <conditionalFormatting sqref="B364">
    <cfRule type="endsWith" dxfId="4170" priority="5144" operator="endsWith" text="x">
      <formula>RIGHT(B364,LEN("x"))="x"</formula>
    </cfRule>
  </conditionalFormatting>
  <conditionalFormatting sqref="H364:K365">
    <cfRule type="endsWith" dxfId="4169" priority="5143" operator="endsWith" text="x">
      <formula>RIGHT(H364,LEN("x"))="x"</formula>
    </cfRule>
  </conditionalFormatting>
  <conditionalFormatting sqref="A364:K364 A361:G363 A365 C365:K365">
    <cfRule type="endsWith" dxfId="4168" priority="5141" operator="endsWith" text="x">
      <formula>RIGHT(A361,LEN("x"))="x"</formula>
    </cfRule>
  </conditionalFormatting>
  <conditionalFormatting sqref="C361">
    <cfRule type="endsWith" dxfId="4167" priority="5140" operator="endsWith" text="x">
      <formula>RIGHT(C361,LEN("x"))="x"</formula>
    </cfRule>
  </conditionalFormatting>
  <conditionalFormatting sqref="C361">
    <cfRule type="endsWith" dxfId="4166" priority="5139" operator="endsWith" text="x">
      <formula>RIGHT(C361,LEN("x"))="x"</formula>
    </cfRule>
  </conditionalFormatting>
  <conditionalFormatting sqref="C362">
    <cfRule type="endsWith" dxfId="4165" priority="5138" operator="endsWith" text="x">
      <formula>RIGHT(C362,LEN("x"))="x"</formula>
    </cfRule>
  </conditionalFormatting>
  <conditionalFormatting sqref="C362">
    <cfRule type="endsWith" dxfId="4164" priority="5137" operator="endsWith" text="x">
      <formula>RIGHT(C362,LEN("x"))="x"</formula>
    </cfRule>
  </conditionalFormatting>
  <conditionalFormatting sqref="C363">
    <cfRule type="endsWith" dxfId="4163" priority="5136" operator="endsWith" text="x">
      <formula>RIGHT(C363,LEN("x"))="x"</formula>
    </cfRule>
  </conditionalFormatting>
  <conditionalFormatting sqref="C363">
    <cfRule type="endsWith" dxfId="4162" priority="5135" operator="endsWith" text="x">
      <formula>RIGHT(C363,LEN("x"))="x"</formula>
    </cfRule>
  </conditionalFormatting>
  <conditionalFormatting sqref="C364">
    <cfRule type="endsWith" dxfId="4161" priority="5134" operator="endsWith" text="x">
      <formula>RIGHT(C364,LEN("x"))="x"</formula>
    </cfRule>
  </conditionalFormatting>
  <conditionalFormatting sqref="C364">
    <cfRule type="endsWith" dxfId="4160" priority="5133" operator="endsWith" text="x">
      <formula>RIGHT(C364,LEN("x"))="x"</formula>
    </cfRule>
  </conditionalFormatting>
  <conditionalFormatting sqref="C365">
    <cfRule type="endsWith" dxfId="4159" priority="5132" operator="endsWith" text="x">
      <formula>RIGHT(C365,LEN("x"))="x"</formula>
    </cfRule>
  </conditionalFormatting>
  <conditionalFormatting sqref="C365">
    <cfRule type="endsWith" dxfId="4158" priority="5131" operator="endsWith" text="x">
      <formula>RIGHT(C365,LEN("x"))="x"</formula>
    </cfRule>
  </conditionalFormatting>
  <conditionalFormatting sqref="E361">
    <cfRule type="endsWith" dxfId="4157" priority="5130" operator="endsWith" text="x">
      <formula>RIGHT(E361,LEN("x"))="x"</formula>
    </cfRule>
  </conditionalFormatting>
  <conditionalFormatting sqref="E361">
    <cfRule type="endsWith" dxfId="4156" priority="5129" operator="endsWith" text="x">
      <formula>RIGHT(E361,LEN("x"))="x"</formula>
    </cfRule>
  </conditionalFormatting>
  <conditionalFormatting sqref="E362">
    <cfRule type="endsWith" dxfId="4155" priority="5128" operator="endsWith" text="x">
      <formula>RIGHT(E362,LEN("x"))="x"</formula>
    </cfRule>
  </conditionalFormatting>
  <conditionalFormatting sqref="E362">
    <cfRule type="endsWith" dxfId="4154" priority="5127" operator="endsWith" text="x">
      <formula>RIGHT(E362,LEN("x"))="x"</formula>
    </cfRule>
  </conditionalFormatting>
  <conditionalFormatting sqref="E363">
    <cfRule type="endsWith" dxfId="4153" priority="5126" operator="endsWith" text="x">
      <formula>RIGHT(E363,LEN("x"))="x"</formula>
    </cfRule>
  </conditionalFormatting>
  <conditionalFormatting sqref="E363">
    <cfRule type="endsWith" dxfId="4152" priority="5125" operator="endsWith" text="x">
      <formula>RIGHT(E363,LEN("x"))="x"</formula>
    </cfRule>
  </conditionalFormatting>
  <conditionalFormatting sqref="E364">
    <cfRule type="endsWith" dxfId="4151" priority="5124" operator="endsWith" text="x">
      <formula>RIGHT(E364,LEN("x"))="x"</formula>
    </cfRule>
  </conditionalFormatting>
  <conditionalFormatting sqref="E364">
    <cfRule type="endsWith" dxfId="4150" priority="5123" operator="endsWith" text="x">
      <formula>RIGHT(E364,LEN("x"))="x"</formula>
    </cfRule>
  </conditionalFormatting>
  <conditionalFormatting sqref="E365">
    <cfRule type="endsWith" dxfId="4149" priority="5122" operator="endsWith" text="x">
      <formula>RIGHT(E365,LEN("x"))="x"</formula>
    </cfRule>
  </conditionalFormatting>
  <conditionalFormatting sqref="E365">
    <cfRule type="endsWith" dxfId="4148" priority="5121" operator="endsWith" text="x">
      <formula>RIGHT(E365,LEN("x"))="x"</formula>
    </cfRule>
  </conditionalFormatting>
  <conditionalFormatting sqref="D362">
    <cfRule type="endsWith" dxfId="4147" priority="5120" operator="endsWith" text="x">
      <formula>RIGHT(D362,LEN("x"))="x"</formula>
    </cfRule>
  </conditionalFormatting>
  <conditionalFormatting sqref="D363">
    <cfRule type="endsWith" dxfId="4146" priority="5119" operator="endsWith" text="x">
      <formula>RIGHT(D363,LEN("x"))="x"</formula>
    </cfRule>
  </conditionalFormatting>
  <conditionalFormatting sqref="D364">
    <cfRule type="endsWith" dxfId="4145" priority="5118" operator="endsWith" text="x">
      <formula>RIGHT(D364,LEN("x"))="x"</formula>
    </cfRule>
  </conditionalFormatting>
  <conditionalFormatting sqref="D364">
    <cfRule type="endsWith" dxfId="4144" priority="5117" operator="endsWith" text="x">
      <formula>RIGHT(D364,LEN("x"))="x"</formula>
    </cfRule>
  </conditionalFormatting>
  <conditionalFormatting sqref="D365">
    <cfRule type="endsWith" dxfId="4143" priority="5116" operator="endsWith" text="x">
      <formula>RIGHT(D365,LEN("x"))="x"</formula>
    </cfRule>
  </conditionalFormatting>
  <conditionalFormatting sqref="F361">
    <cfRule type="endsWith" dxfId="4142" priority="5115" operator="endsWith" text="x">
      <formula>RIGHT(F361,LEN("x"))="x"</formula>
    </cfRule>
  </conditionalFormatting>
  <conditionalFormatting sqref="F361">
    <cfRule type="endsWith" dxfId="4141" priority="5114" operator="endsWith" text="x">
      <formula>RIGHT(F361,LEN("x"))="x"</formula>
    </cfRule>
  </conditionalFormatting>
  <conditionalFormatting sqref="F362">
    <cfRule type="endsWith" dxfId="4140" priority="5113" operator="endsWith" text="x">
      <formula>RIGHT(F362,LEN("x"))="x"</formula>
    </cfRule>
  </conditionalFormatting>
  <conditionalFormatting sqref="F362">
    <cfRule type="endsWith" dxfId="4139" priority="5112" operator="endsWith" text="x">
      <formula>RIGHT(F362,LEN("x"))="x"</formula>
    </cfRule>
  </conditionalFormatting>
  <conditionalFormatting sqref="F363">
    <cfRule type="endsWith" dxfId="4138" priority="5111" operator="endsWith" text="x">
      <formula>RIGHT(F363,LEN("x"))="x"</formula>
    </cfRule>
  </conditionalFormatting>
  <conditionalFormatting sqref="F363">
    <cfRule type="endsWith" dxfId="4137" priority="5110" operator="endsWith" text="x">
      <formula>RIGHT(F363,LEN("x"))="x"</formula>
    </cfRule>
  </conditionalFormatting>
  <conditionalFormatting sqref="F364">
    <cfRule type="endsWith" dxfId="4136" priority="5109" operator="endsWith" text="x">
      <formula>RIGHT(F364,LEN("x"))="x"</formula>
    </cfRule>
  </conditionalFormatting>
  <conditionalFormatting sqref="F364">
    <cfRule type="endsWith" dxfId="4135" priority="5108" operator="endsWith" text="x">
      <formula>RIGHT(F364,LEN("x"))="x"</formula>
    </cfRule>
  </conditionalFormatting>
  <conditionalFormatting sqref="F365">
    <cfRule type="endsWith" dxfId="4134" priority="5107" operator="endsWith" text="x">
      <formula>RIGHT(F365,LEN("x"))="x"</formula>
    </cfRule>
  </conditionalFormatting>
  <conditionalFormatting sqref="G361:G365">
    <cfRule type="endsWith" dxfId="4133" priority="5106" operator="endsWith" text="x">
      <formula>RIGHT(G361,LEN("x"))="x"</formula>
    </cfRule>
  </conditionalFormatting>
  <conditionalFormatting sqref="G362">
    <cfRule type="endsWith" dxfId="4132" priority="5105" operator="endsWith" text="x">
      <formula>RIGHT(G362,LEN("x"))="x"</formula>
    </cfRule>
  </conditionalFormatting>
  <conditionalFormatting sqref="G364">
    <cfRule type="endsWith" dxfId="4131" priority="5104" operator="endsWith" text="x">
      <formula>RIGHT(G364,LEN("x"))="x"</formula>
    </cfRule>
  </conditionalFormatting>
  <conditionalFormatting sqref="B361:B364">
    <cfRule type="endsWith" dxfId="4130" priority="5103" operator="endsWith" text="x">
      <formula>RIGHT(B361,LEN("x"))="x"</formula>
    </cfRule>
  </conditionalFormatting>
  <conditionalFormatting sqref="B362">
    <cfRule type="endsWith" dxfId="4129" priority="5102" operator="endsWith" text="x">
      <formula>RIGHT(B362,LEN("x"))="x"</formula>
    </cfRule>
  </conditionalFormatting>
  <conditionalFormatting sqref="B363">
    <cfRule type="endsWith" dxfId="4128" priority="5101" operator="endsWith" text="x">
      <formula>RIGHT(B363,LEN("x"))="x"</formula>
    </cfRule>
  </conditionalFormatting>
  <conditionalFormatting sqref="B364">
    <cfRule type="endsWith" dxfId="4127" priority="5100" operator="endsWith" text="x">
      <formula>RIGHT(B364,LEN("x"))="x"</formula>
    </cfRule>
  </conditionalFormatting>
  <conditionalFormatting sqref="H364:K365">
    <cfRule type="endsWith" dxfId="4126" priority="5099" operator="endsWith" text="x">
      <formula>RIGHT(H364,LEN("x"))="x"</formula>
    </cfRule>
  </conditionalFormatting>
  <conditionalFormatting sqref="D361">
    <cfRule type="endsWith" dxfId="4125" priority="5097" operator="endsWith" text="x">
      <formula>RIGHT(D361,LEN("x"))="x"</formula>
    </cfRule>
  </conditionalFormatting>
  <conditionalFormatting sqref="A304:G304 E305:G305 A305:C305 A308:K308 A306:G307 A309 C309:K309">
    <cfRule type="endsWith" dxfId="4124" priority="5096" operator="endsWith" text="x">
      <formula>RIGHT(A304,LEN("x"))="x"</formula>
    </cfRule>
  </conditionalFormatting>
  <conditionalFormatting sqref="D306">
    <cfRule type="endsWith" dxfId="4123" priority="5075" operator="endsWith" text="x">
      <formula>RIGHT(D306,LEN("x"))="x"</formula>
    </cfRule>
  </conditionalFormatting>
  <conditionalFormatting sqref="D307">
    <cfRule type="endsWith" dxfId="4122" priority="5074" operator="endsWith" text="x">
      <formula>RIGHT(D307,LEN("x"))="x"</formula>
    </cfRule>
  </conditionalFormatting>
  <conditionalFormatting sqref="D308">
    <cfRule type="endsWith" dxfId="4121" priority="5073" operator="endsWith" text="x">
      <formula>RIGHT(D308,LEN("x"))="x"</formula>
    </cfRule>
  </conditionalFormatting>
  <conditionalFormatting sqref="D308">
    <cfRule type="endsWith" dxfId="4120" priority="5072" operator="endsWith" text="x">
      <formula>RIGHT(D308,LEN("x"))="x"</formula>
    </cfRule>
  </conditionalFormatting>
  <conditionalFormatting sqref="D309">
    <cfRule type="endsWith" dxfId="4119" priority="5071" operator="endsWith" text="x">
      <formula>RIGHT(D309,LEN("x"))="x"</formula>
    </cfRule>
  </conditionalFormatting>
  <conditionalFormatting sqref="F305">
    <cfRule type="endsWith" dxfId="4118" priority="5070" operator="endsWith" text="x">
      <formula>RIGHT(F305,LEN("x"))="x"</formula>
    </cfRule>
  </conditionalFormatting>
  <conditionalFormatting sqref="F305">
    <cfRule type="endsWith" dxfId="4117" priority="5069" operator="endsWith" text="x">
      <formula>RIGHT(F305,LEN("x"))="x"</formula>
    </cfRule>
  </conditionalFormatting>
  <conditionalFormatting sqref="F306">
    <cfRule type="endsWith" dxfId="4116" priority="5068" operator="endsWith" text="x">
      <formula>RIGHT(F306,LEN("x"))="x"</formula>
    </cfRule>
  </conditionalFormatting>
  <conditionalFormatting sqref="F306">
    <cfRule type="endsWith" dxfId="4115" priority="5067" operator="endsWith" text="x">
      <formula>RIGHT(F306,LEN("x"))="x"</formula>
    </cfRule>
  </conditionalFormatting>
  <conditionalFormatting sqref="F307">
    <cfRule type="endsWith" dxfId="4114" priority="5066" operator="endsWith" text="x">
      <formula>RIGHT(F307,LEN("x"))="x"</formula>
    </cfRule>
  </conditionalFormatting>
  <conditionalFormatting sqref="F307">
    <cfRule type="endsWith" dxfId="4113" priority="5065" operator="endsWith" text="x">
      <formula>RIGHT(F307,LEN("x"))="x"</formula>
    </cfRule>
  </conditionalFormatting>
  <conditionalFormatting sqref="F308">
    <cfRule type="endsWith" dxfId="4112" priority="5064" operator="endsWith" text="x">
      <formula>RIGHT(F308,LEN("x"))="x"</formula>
    </cfRule>
  </conditionalFormatting>
  <conditionalFormatting sqref="F308">
    <cfRule type="endsWith" dxfId="4111" priority="5063" operator="endsWith" text="x">
      <formula>RIGHT(F308,LEN("x"))="x"</formula>
    </cfRule>
  </conditionalFormatting>
  <conditionalFormatting sqref="F309">
    <cfRule type="endsWith" dxfId="4110" priority="5062" operator="endsWith" text="x">
      <formula>RIGHT(F309,LEN("x"))="x"</formula>
    </cfRule>
  </conditionalFormatting>
  <conditionalFormatting sqref="B305:B308">
    <cfRule type="endsWith" dxfId="4109" priority="5058" operator="endsWith" text="x">
      <formula>RIGHT(B305,LEN("x"))="x"</formula>
    </cfRule>
  </conditionalFormatting>
  <conditionalFormatting sqref="B307">
    <cfRule type="endsWith" dxfId="4108" priority="5056" operator="endsWith" text="x">
      <formula>RIGHT(B307,LEN("x"))="x"</formula>
    </cfRule>
  </conditionalFormatting>
  <conditionalFormatting sqref="B308">
    <cfRule type="endsWith" dxfId="4107" priority="5055" operator="endsWith" text="x">
      <formula>RIGHT(B308,LEN("x"))="x"</formula>
    </cfRule>
  </conditionalFormatting>
  <conditionalFormatting sqref="H308:H309">
    <cfRule type="endsWith" dxfId="4106" priority="5052" operator="endsWith" text="x">
      <formula>RIGHT(H308,LEN("x"))="x"</formula>
    </cfRule>
  </conditionalFormatting>
  <conditionalFormatting sqref="C305">
    <cfRule type="endsWith" dxfId="4105" priority="5095" operator="endsWith" text="x">
      <formula>RIGHT(C305,LEN("x"))="x"</formula>
    </cfRule>
  </conditionalFormatting>
  <conditionalFormatting sqref="C305">
    <cfRule type="endsWith" dxfId="4104" priority="5094" operator="endsWith" text="x">
      <formula>RIGHT(C305,LEN("x"))="x"</formula>
    </cfRule>
  </conditionalFormatting>
  <conditionalFormatting sqref="C306">
    <cfRule type="endsWith" dxfId="4103" priority="5093" operator="endsWith" text="x">
      <formula>RIGHT(C306,LEN("x"))="x"</formula>
    </cfRule>
  </conditionalFormatting>
  <conditionalFormatting sqref="C306">
    <cfRule type="endsWith" dxfId="4102" priority="5092" operator="endsWith" text="x">
      <formula>RIGHT(C306,LEN("x"))="x"</formula>
    </cfRule>
  </conditionalFormatting>
  <conditionalFormatting sqref="C307">
    <cfRule type="endsWith" dxfId="4101" priority="5091" operator="endsWith" text="x">
      <formula>RIGHT(C307,LEN("x"))="x"</formula>
    </cfRule>
  </conditionalFormatting>
  <conditionalFormatting sqref="C307">
    <cfRule type="endsWith" dxfId="4100" priority="5090" operator="endsWith" text="x">
      <formula>RIGHT(C307,LEN("x"))="x"</formula>
    </cfRule>
  </conditionalFormatting>
  <conditionalFormatting sqref="C308">
    <cfRule type="endsWith" dxfId="4099" priority="5089" operator="endsWith" text="x">
      <formula>RIGHT(C308,LEN("x"))="x"</formula>
    </cfRule>
  </conditionalFormatting>
  <conditionalFormatting sqref="C308">
    <cfRule type="endsWith" dxfId="4098" priority="5088" operator="endsWith" text="x">
      <formula>RIGHT(C308,LEN("x"))="x"</formula>
    </cfRule>
  </conditionalFormatting>
  <conditionalFormatting sqref="C309">
    <cfRule type="endsWith" dxfId="4097" priority="5087" operator="endsWith" text="x">
      <formula>RIGHT(C309,LEN("x"))="x"</formula>
    </cfRule>
  </conditionalFormatting>
  <conditionalFormatting sqref="C309">
    <cfRule type="endsWith" dxfId="4096" priority="5086" operator="endsWith" text="x">
      <formula>RIGHT(C309,LEN("x"))="x"</formula>
    </cfRule>
  </conditionalFormatting>
  <conditionalFormatting sqref="E305">
    <cfRule type="endsWith" dxfId="4095" priority="5085" operator="endsWith" text="x">
      <formula>RIGHT(E305,LEN("x"))="x"</formula>
    </cfRule>
  </conditionalFormatting>
  <conditionalFormatting sqref="E305">
    <cfRule type="endsWith" dxfId="4094" priority="5084" operator="endsWith" text="x">
      <formula>RIGHT(E305,LEN("x"))="x"</formula>
    </cfRule>
  </conditionalFormatting>
  <conditionalFormatting sqref="E306">
    <cfRule type="endsWith" dxfId="4093" priority="5083" operator="endsWith" text="x">
      <formula>RIGHT(E306,LEN("x"))="x"</formula>
    </cfRule>
  </conditionalFormatting>
  <conditionalFormatting sqref="E306">
    <cfRule type="endsWith" dxfId="4092" priority="5082" operator="endsWith" text="x">
      <formula>RIGHT(E306,LEN("x"))="x"</formula>
    </cfRule>
  </conditionalFormatting>
  <conditionalFormatting sqref="E307">
    <cfRule type="endsWith" dxfId="4091" priority="5081" operator="endsWith" text="x">
      <formula>RIGHT(E307,LEN("x"))="x"</formula>
    </cfRule>
  </conditionalFormatting>
  <conditionalFormatting sqref="E307">
    <cfRule type="endsWith" dxfId="4090" priority="5080" operator="endsWith" text="x">
      <formula>RIGHT(E307,LEN("x"))="x"</formula>
    </cfRule>
  </conditionalFormatting>
  <conditionalFormatting sqref="E308">
    <cfRule type="endsWith" dxfId="4089" priority="5079" operator="endsWith" text="x">
      <formula>RIGHT(E308,LEN("x"))="x"</formula>
    </cfRule>
  </conditionalFormatting>
  <conditionalFormatting sqref="E308">
    <cfRule type="endsWith" dxfId="4088" priority="5078" operator="endsWith" text="x">
      <formula>RIGHT(E308,LEN("x"))="x"</formula>
    </cfRule>
  </conditionalFormatting>
  <conditionalFormatting sqref="E309">
    <cfRule type="endsWith" dxfId="4087" priority="5077" operator="endsWith" text="x">
      <formula>RIGHT(E309,LEN("x"))="x"</formula>
    </cfRule>
  </conditionalFormatting>
  <conditionalFormatting sqref="E309">
    <cfRule type="endsWith" dxfId="4086" priority="5076" operator="endsWith" text="x">
      <formula>RIGHT(E309,LEN("x"))="x"</formula>
    </cfRule>
  </conditionalFormatting>
  <conditionalFormatting sqref="B245">
    <cfRule type="endsWith" dxfId="4085" priority="4569" operator="endsWith" text="x">
      <formula>RIGHT(B245,LEN("x"))="x"</formula>
    </cfRule>
  </conditionalFormatting>
  <conditionalFormatting sqref="G305:G309">
    <cfRule type="endsWith" dxfId="4084" priority="5061" operator="endsWith" text="x">
      <formula>RIGHT(G305,LEN("x"))="x"</formula>
    </cfRule>
  </conditionalFormatting>
  <conditionalFormatting sqref="G306">
    <cfRule type="endsWith" dxfId="4083" priority="5060" operator="endsWith" text="x">
      <formula>RIGHT(G306,LEN("x"))="x"</formula>
    </cfRule>
  </conditionalFormatting>
  <conditionalFormatting sqref="G308">
    <cfRule type="endsWith" dxfId="4082" priority="5059" operator="endsWith" text="x">
      <formula>RIGHT(G308,LEN("x"))="x"</formula>
    </cfRule>
  </conditionalFormatting>
  <conditionalFormatting sqref="B306">
    <cfRule type="endsWith" dxfId="4081" priority="5057" operator="endsWith" text="x">
      <formula>RIGHT(B306,LEN("x"))="x"</formula>
    </cfRule>
  </conditionalFormatting>
  <conditionalFormatting sqref="B247">
    <cfRule type="endsWith" dxfId="4080" priority="4570" operator="endsWith" text="x">
      <formula>RIGHT(B247,LEN("x"))="x"</formula>
    </cfRule>
  </conditionalFormatting>
  <conditionalFormatting sqref="A352:G352 A356:K356 A353:C353 E353:G353 A354:G355 A357 C357:K357">
    <cfRule type="endsWith" dxfId="4079" priority="5051" operator="endsWith" text="x">
      <formula>RIGHT(A352,LEN("x"))="x"</formula>
    </cfRule>
  </conditionalFormatting>
  <conditionalFormatting sqref="D354">
    <cfRule type="endsWith" dxfId="4078" priority="5030" operator="endsWith" text="x">
      <formula>RIGHT(D354,LEN("x"))="x"</formula>
    </cfRule>
  </conditionalFormatting>
  <conditionalFormatting sqref="D355">
    <cfRule type="endsWith" dxfId="4077" priority="5029" operator="endsWith" text="x">
      <formula>RIGHT(D355,LEN("x"))="x"</formula>
    </cfRule>
  </conditionalFormatting>
  <conditionalFormatting sqref="D356">
    <cfRule type="endsWith" dxfId="4076" priority="5028" operator="endsWith" text="x">
      <formula>RIGHT(D356,LEN("x"))="x"</formula>
    </cfRule>
  </conditionalFormatting>
  <conditionalFormatting sqref="D356">
    <cfRule type="endsWith" dxfId="4075" priority="5027" operator="endsWith" text="x">
      <formula>RIGHT(D356,LEN("x"))="x"</formula>
    </cfRule>
  </conditionalFormatting>
  <conditionalFormatting sqref="D357">
    <cfRule type="endsWith" dxfId="4074" priority="5026" operator="endsWith" text="x">
      <formula>RIGHT(D357,LEN("x"))="x"</formula>
    </cfRule>
  </conditionalFormatting>
  <conditionalFormatting sqref="F353">
    <cfRule type="endsWith" dxfId="4073" priority="5025" operator="endsWith" text="x">
      <formula>RIGHT(F353,LEN("x"))="x"</formula>
    </cfRule>
  </conditionalFormatting>
  <conditionalFormatting sqref="F353">
    <cfRule type="endsWith" dxfId="4072" priority="5024" operator="endsWith" text="x">
      <formula>RIGHT(F353,LEN("x"))="x"</formula>
    </cfRule>
  </conditionalFormatting>
  <conditionalFormatting sqref="F354">
    <cfRule type="endsWith" dxfId="4071" priority="5023" operator="endsWith" text="x">
      <formula>RIGHT(F354,LEN("x"))="x"</formula>
    </cfRule>
  </conditionalFormatting>
  <conditionalFormatting sqref="F354">
    <cfRule type="endsWith" dxfId="4070" priority="5022" operator="endsWith" text="x">
      <formula>RIGHT(F354,LEN("x"))="x"</formula>
    </cfRule>
  </conditionalFormatting>
  <conditionalFormatting sqref="F355">
    <cfRule type="endsWith" dxfId="4069" priority="5021" operator="endsWith" text="x">
      <formula>RIGHT(F355,LEN("x"))="x"</formula>
    </cfRule>
  </conditionalFormatting>
  <conditionalFormatting sqref="F355">
    <cfRule type="endsWith" dxfId="4068" priority="5020" operator="endsWith" text="x">
      <formula>RIGHT(F355,LEN("x"))="x"</formula>
    </cfRule>
  </conditionalFormatting>
  <conditionalFormatting sqref="F356">
    <cfRule type="endsWith" dxfId="4067" priority="5019" operator="endsWith" text="x">
      <formula>RIGHT(F356,LEN("x"))="x"</formula>
    </cfRule>
  </conditionalFormatting>
  <conditionalFormatting sqref="F356">
    <cfRule type="endsWith" dxfId="4066" priority="5018" operator="endsWith" text="x">
      <formula>RIGHT(F356,LEN("x"))="x"</formula>
    </cfRule>
  </conditionalFormatting>
  <conditionalFormatting sqref="F357">
    <cfRule type="endsWith" dxfId="4065" priority="5017" operator="endsWith" text="x">
      <formula>RIGHT(F357,LEN("x"))="x"</formula>
    </cfRule>
  </conditionalFormatting>
  <conditionalFormatting sqref="B355">
    <cfRule type="endsWith" dxfId="4064" priority="5011" operator="endsWith" text="x">
      <formula>RIGHT(B355,LEN("x"))="x"</formula>
    </cfRule>
  </conditionalFormatting>
  <conditionalFormatting sqref="B356">
    <cfRule type="endsWith" dxfId="4063" priority="5010" operator="endsWith" text="x">
      <formula>RIGHT(B356,LEN("x"))="x"</formula>
    </cfRule>
  </conditionalFormatting>
  <conditionalFormatting sqref="H356:H357">
    <cfRule type="endsWith" dxfId="4062" priority="5007" operator="endsWith" text="x">
      <formula>RIGHT(H356,LEN("x"))="x"</formula>
    </cfRule>
  </conditionalFormatting>
  <conditionalFormatting sqref="C353">
    <cfRule type="endsWith" dxfId="4061" priority="5050" operator="endsWith" text="x">
      <formula>RIGHT(C353,LEN("x"))="x"</formula>
    </cfRule>
  </conditionalFormatting>
  <conditionalFormatting sqref="C353">
    <cfRule type="endsWith" dxfId="4060" priority="5049" operator="endsWith" text="x">
      <formula>RIGHT(C353,LEN("x"))="x"</formula>
    </cfRule>
  </conditionalFormatting>
  <conditionalFormatting sqref="C354">
    <cfRule type="endsWith" dxfId="4059" priority="5048" operator="endsWith" text="x">
      <formula>RIGHT(C354,LEN("x"))="x"</formula>
    </cfRule>
  </conditionalFormatting>
  <conditionalFormatting sqref="C354">
    <cfRule type="endsWith" dxfId="4058" priority="5047" operator="endsWith" text="x">
      <formula>RIGHT(C354,LEN("x"))="x"</formula>
    </cfRule>
  </conditionalFormatting>
  <conditionalFormatting sqref="C355">
    <cfRule type="endsWith" dxfId="4057" priority="5046" operator="endsWith" text="x">
      <formula>RIGHT(C355,LEN("x"))="x"</formula>
    </cfRule>
  </conditionalFormatting>
  <conditionalFormatting sqref="C355">
    <cfRule type="endsWith" dxfId="4056" priority="5045" operator="endsWith" text="x">
      <formula>RIGHT(C355,LEN("x"))="x"</formula>
    </cfRule>
  </conditionalFormatting>
  <conditionalFormatting sqref="C356">
    <cfRule type="endsWith" dxfId="4055" priority="5044" operator="endsWith" text="x">
      <formula>RIGHT(C356,LEN("x"))="x"</formula>
    </cfRule>
  </conditionalFormatting>
  <conditionalFormatting sqref="C356">
    <cfRule type="endsWith" dxfId="4054" priority="5043" operator="endsWith" text="x">
      <formula>RIGHT(C356,LEN("x"))="x"</formula>
    </cfRule>
  </conditionalFormatting>
  <conditionalFormatting sqref="C357">
    <cfRule type="endsWith" dxfId="4053" priority="5042" operator="endsWith" text="x">
      <formula>RIGHT(C357,LEN("x"))="x"</formula>
    </cfRule>
  </conditionalFormatting>
  <conditionalFormatting sqref="C357">
    <cfRule type="endsWith" dxfId="4052" priority="5041" operator="endsWith" text="x">
      <formula>RIGHT(C357,LEN("x"))="x"</formula>
    </cfRule>
  </conditionalFormatting>
  <conditionalFormatting sqref="E353">
    <cfRule type="endsWith" dxfId="4051" priority="5040" operator="endsWith" text="x">
      <formula>RIGHT(E353,LEN("x"))="x"</formula>
    </cfRule>
  </conditionalFormatting>
  <conditionalFormatting sqref="E353">
    <cfRule type="endsWith" dxfId="4050" priority="5039" operator="endsWith" text="x">
      <formula>RIGHT(E353,LEN("x"))="x"</formula>
    </cfRule>
  </conditionalFormatting>
  <conditionalFormatting sqref="E354">
    <cfRule type="endsWith" dxfId="4049" priority="5038" operator="endsWith" text="x">
      <formula>RIGHT(E354,LEN("x"))="x"</formula>
    </cfRule>
  </conditionalFormatting>
  <conditionalFormatting sqref="E354">
    <cfRule type="endsWith" dxfId="4048" priority="5037" operator="endsWith" text="x">
      <formula>RIGHT(E354,LEN("x"))="x"</formula>
    </cfRule>
  </conditionalFormatting>
  <conditionalFormatting sqref="E355">
    <cfRule type="endsWith" dxfId="4047" priority="5036" operator="endsWith" text="x">
      <formula>RIGHT(E355,LEN("x"))="x"</formula>
    </cfRule>
  </conditionalFormatting>
  <conditionalFormatting sqref="E355">
    <cfRule type="endsWith" dxfId="4046" priority="5035" operator="endsWith" text="x">
      <formula>RIGHT(E355,LEN("x"))="x"</formula>
    </cfRule>
  </conditionalFormatting>
  <conditionalFormatting sqref="E356">
    <cfRule type="endsWith" dxfId="4045" priority="5034" operator="endsWith" text="x">
      <formula>RIGHT(E356,LEN("x"))="x"</formula>
    </cfRule>
  </conditionalFormatting>
  <conditionalFormatting sqref="E356">
    <cfRule type="endsWith" dxfId="4044" priority="5033" operator="endsWith" text="x">
      <formula>RIGHT(E356,LEN("x"))="x"</formula>
    </cfRule>
  </conditionalFormatting>
  <conditionalFormatting sqref="E357">
    <cfRule type="endsWith" dxfId="4043" priority="5032" operator="endsWith" text="x">
      <formula>RIGHT(E357,LEN("x"))="x"</formula>
    </cfRule>
  </conditionalFormatting>
  <conditionalFormatting sqref="E357">
    <cfRule type="endsWith" dxfId="4042" priority="5031" operator="endsWith" text="x">
      <formula>RIGHT(E357,LEN("x"))="x"</formula>
    </cfRule>
  </conditionalFormatting>
  <conditionalFormatting sqref="G354">
    <cfRule type="endsWith" dxfId="4041" priority="5015" operator="endsWith" text="x">
      <formula>RIGHT(G354,LEN("x"))="x"</formula>
    </cfRule>
  </conditionalFormatting>
  <conditionalFormatting sqref="G356">
    <cfRule type="endsWith" dxfId="4040" priority="5014" operator="endsWith" text="x">
      <formula>RIGHT(G356,LEN("x"))="x"</formula>
    </cfRule>
  </conditionalFormatting>
  <conditionalFormatting sqref="B354">
    <cfRule type="endsWith" dxfId="4039" priority="5012" operator="endsWith" text="x">
      <formula>RIGHT(B354,LEN("x"))="x"</formula>
    </cfRule>
  </conditionalFormatting>
  <conditionalFormatting sqref="D305">
    <cfRule type="endsWith" dxfId="4038" priority="5006" operator="endsWith" text="x">
      <formula>RIGHT(D305,LEN("x"))="x"</formula>
    </cfRule>
  </conditionalFormatting>
  <conditionalFormatting sqref="D253">
    <cfRule type="endsWith" dxfId="4037" priority="5005" operator="endsWith" text="x">
      <formula>RIGHT(D253,LEN("x"))="x"</formula>
    </cfRule>
  </conditionalFormatting>
  <conditionalFormatting sqref="D353">
    <cfRule type="endsWith" dxfId="4036" priority="5004" operator="endsWith" text="x">
      <formula>RIGHT(D353,LEN("x"))="x"</formula>
    </cfRule>
  </conditionalFormatting>
  <conditionalFormatting sqref="D353">
    <cfRule type="endsWith" dxfId="4035" priority="5003" operator="endsWith" text="x">
      <formula>RIGHT(D353,LEN("x"))="x"</formula>
    </cfRule>
  </conditionalFormatting>
  <conditionalFormatting sqref="A274:G274 A275:B278 D276:D279 F278:K279 F275:G277 A279">
    <cfRule type="endsWith" dxfId="4034" priority="5002" operator="endsWith" text="x">
      <formula>RIGHT(A274,LEN("x"))="x"</formula>
    </cfRule>
  </conditionalFormatting>
  <conditionalFormatting sqref="D276">
    <cfRule type="endsWith" dxfId="4033" priority="4981" operator="endsWith" text="x">
      <formula>RIGHT(D276,LEN("x"))="x"</formula>
    </cfRule>
  </conditionalFormatting>
  <conditionalFormatting sqref="D277">
    <cfRule type="endsWith" dxfId="4032" priority="4980" operator="endsWith" text="x">
      <formula>RIGHT(D277,LEN("x"))="x"</formula>
    </cfRule>
  </conditionalFormatting>
  <conditionalFormatting sqref="D278">
    <cfRule type="endsWith" dxfId="4031" priority="4979" operator="endsWith" text="x">
      <formula>RIGHT(D278,LEN("x"))="x"</formula>
    </cfRule>
  </conditionalFormatting>
  <conditionalFormatting sqref="D278">
    <cfRule type="endsWith" dxfId="4030" priority="4978" operator="endsWith" text="x">
      <formula>RIGHT(D278,LEN("x"))="x"</formula>
    </cfRule>
  </conditionalFormatting>
  <conditionalFormatting sqref="D279">
    <cfRule type="endsWith" dxfId="4029" priority="4977" operator="endsWith" text="x">
      <formula>RIGHT(D279,LEN("x"))="x"</formula>
    </cfRule>
  </conditionalFormatting>
  <conditionalFormatting sqref="F275">
    <cfRule type="endsWith" dxfId="4028" priority="4976" operator="endsWith" text="x">
      <formula>RIGHT(F275,LEN("x"))="x"</formula>
    </cfRule>
  </conditionalFormatting>
  <conditionalFormatting sqref="F275">
    <cfRule type="endsWith" dxfId="4027" priority="4975" operator="endsWith" text="x">
      <formula>RIGHT(F275,LEN("x"))="x"</formula>
    </cfRule>
  </conditionalFormatting>
  <conditionalFormatting sqref="F276">
    <cfRule type="endsWith" dxfId="4026" priority="4974" operator="endsWith" text="x">
      <formula>RIGHT(F276,LEN("x"))="x"</formula>
    </cfRule>
  </conditionalFormatting>
  <conditionalFormatting sqref="F276">
    <cfRule type="endsWith" dxfId="4025" priority="4973" operator="endsWith" text="x">
      <formula>RIGHT(F276,LEN("x"))="x"</formula>
    </cfRule>
  </conditionalFormatting>
  <conditionalFormatting sqref="F277">
    <cfRule type="endsWith" dxfId="4024" priority="4972" operator="endsWith" text="x">
      <formula>RIGHT(F277,LEN("x"))="x"</formula>
    </cfRule>
  </conditionalFormatting>
  <conditionalFormatting sqref="F277">
    <cfRule type="endsWith" dxfId="4023" priority="4971" operator="endsWith" text="x">
      <formula>RIGHT(F277,LEN("x"))="x"</formula>
    </cfRule>
  </conditionalFormatting>
  <conditionalFormatting sqref="F278">
    <cfRule type="endsWith" dxfId="4022" priority="4970" operator="endsWith" text="x">
      <formula>RIGHT(F278,LEN("x"))="x"</formula>
    </cfRule>
  </conditionalFormatting>
  <conditionalFormatting sqref="F278">
    <cfRule type="endsWith" dxfId="4021" priority="4969" operator="endsWith" text="x">
      <formula>RIGHT(F278,LEN("x"))="x"</formula>
    </cfRule>
  </conditionalFormatting>
  <conditionalFormatting sqref="F279">
    <cfRule type="endsWith" dxfId="4020" priority="4968" operator="endsWith" text="x">
      <formula>RIGHT(F279,LEN("x"))="x"</formula>
    </cfRule>
  </conditionalFormatting>
  <conditionalFormatting sqref="B277">
    <cfRule type="endsWith" dxfId="4019" priority="4962" operator="endsWith" text="x">
      <formula>RIGHT(B277,LEN("x"))="x"</formula>
    </cfRule>
  </conditionalFormatting>
  <conditionalFormatting sqref="H278:H279">
    <cfRule type="endsWith" dxfId="4018" priority="4958" operator="endsWith" text="x">
      <formula>RIGHT(H278,LEN("x"))="x"</formula>
    </cfRule>
  </conditionalFormatting>
  <conditionalFormatting sqref="E322">
    <cfRule type="endsWith" dxfId="4017" priority="4907" operator="endsWith" text="x">
      <formula>RIGHT(E322,LEN("x"))="x"</formula>
    </cfRule>
  </conditionalFormatting>
  <conditionalFormatting sqref="E323">
    <cfRule type="endsWith" dxfId="4016" priority="4906" operator="endsWith" text="x">
      <formula>RIGHT(E323,LEN("x"))="x"</formula>
    </cfRule>
  </conditionalFormatting>
  <conditionalFormatting sqref="E324">
    <cfRule type="endsWith" dxfId="4015" priority="4904" operator="endsWith" text="x">
      <formula>RIGHT(E324,LEN("x"))="x"</formula>
    </cfRule>
  </conditionalFormatting>
  <conditionalFormatting sqref="E325">
    <cfRule type="endsWith" dxfId="4014" priority="4903" operator="endsWith" text="x">
      <formula>RIGHT(E325,LEN("x"))="x"</formula>
    </cfRule>
  </conditionalFormatting>
  <conditionalFormatting sqref="F276">
    <cfRule type="endsWith" dxfId="4013" priority="4902" operator="endsWith" text="x">
      <formula>RIGHT(F276,LEN("x"))="x"</formula>
    </cfRule>
  </conditionalFormatting>
  <conditionalFormatting sqref="F276">
    <cfRule type="endsWith" dxfId="4012" priority="4901" operator="endsWith" text="x">
      <formula>RIGHT(F276,LEN("x"))="x"</formula>
    </cfRule>
  </conditionalFormatting>
  <conditionalFormatting sqref="AI669:AL670">
    <cfRule type="endsWith" dxfId="4011" priority="4445" operator="endsWith" text="x">
      <formula>RIGHT(AI669,LEN("x"))="x"</formula>
    </cfRule>
  </conditionalFormatting>
  <conditionalFormatting sqref="G275:G279">
    <cfRule type="endsWith" dxfId="4010" priority="4967" operator="endsWith" text="x">
      <formula>RIGHT(G275,LEN("x"))="x"</formula>
    </cfRule>
  </conditionalFormatting>
  <conditionalFormatting sqref="G276">
    <cfRule type="endsWith" dxfId="4009" priority="4966" operator="endsWith" text="x">
      <formula>RIGHT(G276,LEN("x"))="x"</formula>
    </cfRule>
  </conditionalFormatting>
  <conditionalFormatting sqref="G278">
    <cfRule type="endsWith" dxfId="4008" priority="4965" operator="endsWith" text="x">
      <formula>RIGHT(G278,LEN("x"))="x"</formula>
    </cfRule>
  </conditionalFormatting>
  <conditionalFormatting sqref="B276">
    <cfRule type="endsWith" dxfId="4007" priority="4963" operator="endsWith" text="x">
      <formula>RIGHT(B276,LEN("x"))="x"</formula>
    </cfRule>
  </conditionalFormatting>
  <conditionalFormatting sqref="AI672">
    <cfRule type="endsWith" dxfId="4006" priority="4446" operator="endsWith" text="x">
      <formula>RIGHT(AI672,LEN("x"))="x"</formula>
    </cfRule>
  </conditionalFormatting>
  <conditionalFormatting sqref="D275">
    <cfRule type="endsWith" dxfId="4005" priority="4957" operator="endsWith" text="x">
      <formula>RIGHT(D275,LEN("x"))="x"</formula>
    </cfRule>
  </conditionalFormatting>
  <conditionalFormatting sqref="D275">
    <cfRule type="endsWith" dxfId="4004" priority="4956" operator="endsWith" text="x">
      <formula>RIGHT(D275,LEN("x"))="x"</formula>
    </cfRule>
  </conditionalFormatting>
  <conditionalFormatting sqref="C275">
    <cfRule type="endsWith" dxfId="4003" priority="4955" operator="endsWith" text="x">
      <formula>RIGHT(C275,LEN("x"))="x"</formula>
    </cfRule>
  </conditionalFormatting>
  <conditionalFormatting sqref="C276">
    <cfRule type="endsWith" dxfId="4002" priority="4954" operator="endsWith" text="x">
      <formula>RIGHT(C276,LEN("x"))="x"</formula>
    </cfRule>
  </conditionalFormatting>
  <conditionalFormatting sqref="C277">
    <cfRule type="endsWith" dxfId="4001" priority="4953" operator="endsWith" text="x">
      <formula>RIGHT(C277,LEN("x"))="x"</formula>
    </cfRule>
  </conditionalFormatting>
  <conditionalFormatting sqref="C278">
    <cfRule type="endsWith" dxfId="4000" priority="4952" operator="endsWith" text="x">
      <formula>RIGHT(C278,LEN("x"))="x"</formula>
    </cfRule>
  </conditionalFormatting>
  <conditionalFormatting sqref="C279">
    <cfRule type="endsWith" dxfId="3999" priority="4951" operator="endsWith" text="x">
      <formula>RIGHT(C279,LEN("x"))="x"</formula>
    </cfRule>
  </conditionalFormatting>
  <conditionalFormatting sqref="E275">
    <cfRule type="endsWith" dxfId="3998" priority="4950" operator="endsWith" text="x">
      <formula>RIGHT(E275,LEN("x"))="x"</formula>
    </cfRule>
  </conditionalFormatting>
  <conditionalFormatting sqref="E276">
    <cfRule type="endsWith" dxfId="3997" priority="4949" operator="endsWith" text="x">
      <formula>RIGHT(E276,LEN("x"))="x"</formula>
    </cfRule>
  </conditionalFormatting>
  <conditionalFormatting sqref="E277">
    <cfRule type="endsWith" dxfId="3996" priority="4948" operator="endsWith" text="x">
      <formula>RIGHT(E277,LEN("x"))="x"</formula>
    </cfRule>
  </conditionalFormatting>
  <conditionalFormatting sqref="E278">
    <cfRule type="endsWith" dxfId="3995" priority="4947" operator="endsWith" text="x">
      <formula>RIGHT(E278,LEN("x"))="x"</formula>
    </cfRule>
  </conditionalFormatting>
  <conditionalFormatting sqref="E279">
    <cfRule type="endsWith" dxfId="3994" priority="4946" operator="endsWith" text="x">
      <formula>RIGHT(E279,LEN("x"))="x"</formula>
    </cfRule>
  </conditionalFormatting>
  <conditionalFormatting sqref="D322">
    <cfRule type="endsWith" dxfId="3993" priority="4944" operator="endsWith" text="x">
      <formula>RIGHT(D322,LEN("x"))="x"</formula>
    </cfRule>
  </conditionalFormatting>
  <conditionalFormatting sqref="D323">
    <cfRule type="endsWith" dxfId="3992" priority="4943" operator="endsWith" text="x">
      <formula>RIGHT(D323,LEN("x"))="x"</formula>
    </cfRule>
  </conditionalFormatting>
  <conditionalFormatting sqref="D324">
    <cfRule type="endsWith" dxfId="3991" priority="4942" operator="endsWith" text="x">
      <formula>RIGHT(D324,LEN("x"))="x"</formula>
    </cfRule>
  </conditionalFormatting>
  <conditionalFormatting sqref="D324">
    <cfRule type="endsWith" dxfId="3990" priority="4941" operator="endsWith" text="x">
      <formula>RIGHT(D324,LEN("x"))="x"</formula>
    </cfRule>
  </conditionalFormatting>
  <conditionalFormatting sqref="D325">
    <cfRule type="endsWith" dxfId="3989" priority="4940" operator="endsWith" text="x">
      <formula>RIGHT(D325,LEN("x"))="x"</formula>
    </cfRule>
  </conditionalFormatting>
  <conditionalFormatting sqref="F321">
    <cfRule type="endsWith" dxfId="3988" priority="4939" operator="endsWith" text="x">
      <formula>RIGHT(F321,LEN("x"))="x"</formula>
    </cfRule>
  </conditionalFormatting>
  <conditionalFormatting sqref="F321">
    <cfRule type="endsWith" dxfId="3987" priority="4938" operator="endsWith" text="x">
      <formula>RIGHT(F321,LEN("x"))="x"</formula>
    </cfRule>
  </conditionalFormatting>
  <conditionalFormatting sqref="F322">
    <cfRule type="endsWith" dxfId="3986" priority="4937" operator="endsWith" text="x">
      <formula>RIGHT(F322,LEN("x"))="x"</formula>
    </cfRule>
  </conditionalFormatting>
  <conditionalFormatting sqref="F322">
    <cfRule type="endsWith" dxfId="3985" priority="4936" operator="endsWith" text="x">
      <formula>RIGHT(F322,LEN("x"))="x"</formula>
    </cfRule>
  </conditionalFormatting>
  <conditionalFormatting sqref="F323">
    <cfRule type="endsWith" dxfId="3984" priority="4935" operator="endsWith" text="x">
      <formula>RIGHT(F323,LEN("x"))="x"</formula>
    </cfRule>
  </conditionalFormatting>
  <conditionalFormatting sqref="F323">
    <cfRule type="endsWith" dxfId="3983" priority="4934" operator="endsWith" text="x">
      <formula>RIGHT(F323,LEN("x"))="x"</formula>
    </cfRule>
  </conditionalFormatting>
  <conditionalFormatting sqref="F324">
    <cfRule type="endsWith" dxfId="3982" priority="4933" operator="endsWith" text="x">
      <formula>RIGHT(F324,LEN("x"))="x"</formula>
    </cfRule>
  </conditionalFormatting>
  <conditionalFormatting sqref="F324">
    <cfRule type="endsWith" dxfId="3981" priority="4932" operator="endsWith" text="x">
      <formula>RIGHT(F324,LEN("x"))="x"</formula>
    </cfRule>
  </conditionalFormatting>
  <conditionalFormatting sqref="F325">
    <cfRule type="endsWith" dxfId="3980" priority="4931" operator="endsWith" text="x">
      <formula>RIGHT(F325,LEN("x"))="x"</formula>
    </cfRule>
  </conditionalFormatting>
  <conditionalFormatting sqref="B321:B324">
    <cfRule type="endsWith" dxfId="3979" priority="4927" operator="endsWith" text="x">
      <formula>RIGHT(B321,LEN("x"))="x"</formula>
    </cfRule>
  </conditionalFormatting>
  <conditionalFormatting sqref="B323">
    <cfRule type="endsWith" dxfId="3978" priority="4925" operator="endsWith" text="x">
      <formula>RIGHT(B323,LEN("x"))="x"</formula>
    </cfRule>
  </conditionalFormatting>
  <conditionalFormatting sqref="B324">
    <cfRule type="endsWith" dxfId="3977" priority="4924" operator="endsWith" text="x">
      <formula>RIGHT(B324,LEN("x"))="x"</formula>
    </cfRule>
  </conditionalFormatting>
  <conditionalFormatting sqref="H324:H325">
    <cfRule type="endsWith" dxfId="3976" priority="4921" operator="endsWith" text="x">
      <formula>RIGHT(H324,LEN("x"))="x"</formula>
    </cfRule>
  </conditionalFormatting>
  <conditionalFormatting sqref="AI641:AK641 AI642:AL643 AI640:AL640">
    <cfRule type="endsWith" dxfId="3975" priority="4468" operator="endsWith" text="x">
      <formula>RIGHT(AI640,LEN("x"))="x"</formula>
    </cfRule>
  </conditionalFormatting>
  <conditionalFormatting sqref="G321:G325">
    <cfRule type="endsWith" dxfId="3974" priority="4930" operator="endsWith" text="x">
      <formula>RIGHT(G321,LEN("x"))="x"</formula>
    </cfRule>
  </conditionalFormatting>
  <conditionalFormatting sqref="G322">
    <cfRule type="endsWith" dxfId="3973" priority="4929" operator="endsWith" text="x">
      <formula>RIGHT(G322,LEN("x"))="x"</formula>
    </cfRule>
  </conditionalFormatting>
  <conditionalFormatting sqref="G324">
    <cfRule type="endsWith" dxfId="3972" priority="4928" operator="endsWith" text="x">
      <formula>RIGHT(G324,LEN("x"))="x"</formula>
    </cfRule>
  </conditionalFormatting>
  <conditionalFormatting sqref="B322">
    <cfRule type="endsWith" dxfId="3971" priority="4926" operator="endsWith" text="x">
      <formula>RIGHT(B322,LEN("x"))="x"</formula>
    </cfRule>
  </conditionalFormatting>
  <conditionalFormatting sqref="AI642:AL643">
    <cfRule type="endsWith" dxfId="3970" priority="4469" operator="endsWith" text="x">
      <formula>RIGHT(AI642,LEN("x"))="x"</formula>
    </cfRule>
  </conditionalFormatting>
  <conditionalFormatting sqref="D321">
    <cfRule type="endsWith" dxfId="3969" priority="4920" operator="endsWith" text="x">
      <formula>RIGHT(D321,LEN("x"))="x"</formula>
    </cfRule>
  </conditionalFormatting>
  <conditionalFormatting sqref="D321">
    <cfRule type="endsWith" dxfId="3968" priority="4919" operator="endsWith" text="x">
      <formula>RIGHT(D321,LEN("x"))="x"</formula>
    </cfRule>
  </conditionalFormatting>
  <conditionalFormatting sqref="C321">
    <cfRule type="endsWith" dxfId="3967" priority="4918" operator="endsWith" text="x">
      <formula>RIGHT(C321,LEN("x"))="x"</formula>
    </cfRule>
  </conditionalFormatting>
  <conditionalFormatting sqref="C322">
    <cfRule type="endsWith" dxfId="3966" priority="4917" operator="endsWith" text="x">
      <formula>RIGHT(C322,LEN("x"))="x"</formula>
    </cfRule>
  </conditionalFormatting>
  <conditionalFormatting sqref="C323">
    <cfRule type="endsWith" dxfId="3965" priority="4916" operator="endsWith" text="x">
      <formula>RIGHT(C323,LEN("x"))="x"</formula>
    </cfRule>
  </conditionalFormatting>
  <conditionalFormatting sqref="C324">
    <cfRule type="endsWith" dxfId="3964" priority="4915" operator="endsWith" text="x">
      <formula>RIGHT(C324,LEN("x"))="x"</formula>
    </cfRule>
  </conditionalFormatting>
  <conditionalFormatting sqref="C531">
    <cfRule type="endsWith" dxfId="3963" priority="4870" operator="endsWith" text="x">
      <formula>RIGHT(C531,LEN("x"))="x"</formula>
    </cfRule>
  </conditionalFormatting>
  <conditionalFormatting sqref="E531">
    <cfRule type="endsWith" dxfId="3962" priority="4871" operator="endsWith" text="x">
      <formula>RIGHT(E531,LEN("x"))="x"</formula>
    </cfRule>
  </conditionalFormatting>
  <conditionalFormatting sqref="C537">
    <cfRule type="endsWith" dxfId="3961" priority="4866" operator="endsWith" text="x">
      <formula>RIGHT(C537,LEN("x"))="x"</formula>
    </cfRule>
  </conditionalFormatting>
  <conditionalFormatting sqref="F277">
    <cfRule type="endsWith" dxfId="3960" priority="4900" operator="endsWith" text="x">
      <formula>RIGHT(F277,LEN("x"))="x"</formula>
    </cfRule>
  </conditionalFormatting>
  <conditionalFormatting sqref="F277">
    <cfRule type="endsWith" dxfId="3959" priority="4899" operator="endsWith" text="x">
      <formula>RIGHT(F277,LEN("x"))="x"</formula>
    </cfRule>
  </conditionalFormatting>
  <conditionalFormatting sqref="F278">
    <cfRule type="endsWith" dxfId="3958" priority="4898" operator="endsWith" text="x">
      <formula>RIGHT(F278,LEN("x"))="x"</formula>
    </cfRule>
  </conditionalFormatting>
  <conditionalFormatting sqref="F278">
    <cfRule type="endsWith" dxfId="3957" priority="4897" operator="endsWith" text="x">
      <formula>RIGHT(F278,LEN("x"))="x"</formula>
    </cfRule>
  </conditionalFormatting>
  <conditionalFormatting sqref="F279">
    <cfRule type="endsWith" dxfId="3956" priority="4896" operator="endsWith" text="x">
      <formula>RIGHT(F279,LEN("x"))="x"</formula>
    </cfRule>
  </conditionalFormatting>
  <conditionalFormatting sqref="F279">
    <cfRule type="endsWith" dxfId="3955" priority="4895" operator="endsWith" text="x">
      <formula>RIGHT(F279,LEN("x"))="x"</formula>
    </cfRule>
  </conditionalFormatting>
  <conditionalFormatting sqref="E537">
    <cfRule type="endsWith" dxfId="3954" priority="4867" operator="endsWith" text="x">
      <formula>RIGHT(E537,LEN("x"))="x"</formula>
    </cfRule>
  </conditionalFormatting>
  <conditionalFormatting sqref="A514:G515 A513:B513 D513 F513:G513">
    <cfRule type="endsWith" dxfId="3953" priority="4889" operator="endsWith" text="x">
      <formula>RIGHT(A513,LEN("x"))="x"</formula>
    </cfRule>
  </conditionalFormatting>
  <conditionalFormatting sqref="C513">
    <cfRule type="endsWith" dxfId="3952" priority="4887" operator="endsWith" text="x">
      <formula>RIGHT(C513,LEN("x"))="x"</formula>
    </cfRule>
  </conditionalFormatting>
  <conditionalFormatting sqref="E513">
    <cfRule type="endsWith" dxfId="3951" priority="4885" operator="endsWith" text="x">
      <formula>RIGHT(E513,LEN("x"))="x"</formula>
    </cfRule>
  </conditionalFormatting>
  <conditionalFormatting sqref="A520:G521 A519:B519 D519 F519:G519">
    <cfRule type="endsWith" dxfId="3950" priority="4884" operator="endsWith" text="x">
      <formula>RIGHT(A519,LEN("x"))="x"</formula>
    </cfRule>
  </conditionalFormatting>
  <conditionalFormatting sqref="C519">
    <cfRule type="endsWith" dxfId="3949" priority="4882" operator="endsWith" text="x">
      <formula>RIGHT(C519,LEN("x"))="x"</formula>
    </cfRule>
  </conditionalFormatting>
  <conditionalFormatting sqref="E519">
    <cfRule type="endsWith" dxfId="3948" priority="4881" operator="endsWith" text="x">
      <formula>RIGHT(E519,LEN("x"))="x"</formula>
    </cfRule>
  </conditionalFormatting>
  <conditionalFormatting sqref="A526:G527 A525:B525 D525 F525:G525">
    <cfRule type="endsWith" dxfId="3947" priority="4880" operator="endsWith" text="x">
      <formula>RIGHT(A525,LEN("x"))="x"</formula>
    </cfRule>
  </conditionalFormatting>
  <conditionalFormatting sqref="C525">
    <cfRule type="endsWith" dxfId="3946" priority="4876" operator="endsWith" text="x">
      <formula>RIGHT(C525,LEN("x"))="x"</formula>
    </cfRule>
  </conditionalFormatting>
  <conditionalFormatting sqref="E525">
    <cfRule type="endsWith" dxfId="3945" priority="4875" operator="endsWith" text="x">
      <formula>RIGHT(E525,LEN("x"))="x"</formula>
    </cfRule>
  </conditionalFormatting>
  <conditionalFormatting sqref="A532:G533 A531:B531 D531 F531:G531">
    <cfRule type="endsWith" dxfId="3944" priority="4874" operator="endsWith" text="x">
      <formula>RIGHT(A531,LEN("x"))="x"</formula>
    </cfRule>
  </conditionalFormatting>
  <conditionalFormatting sqref="A538:G539 A537:B537 D537 F537:G537">
    <cfRule type="endsWith" dxfId="3943" priority="4869" operator="endsWith" text="x">
      <formula>RIGHT(A537,LEN("x"))="x"</formula>
    </cfRule>
  </conditionalFormatting>
  <conditionalFormatting sqref="B86">
    <cfRule type="endsWith" dxfId="3942" priority="4838" operator="endsWith" text="x">
      <formula>RIGHT(B86,LEN("x"))="x"</formula>
    </cfRule>
  </conditionalFormatting>
  <conditionalFormatting sqref="A560:G561 A559:B559 D559 F559:G559">
    <cfRule type="endsWith" dxfId="3941" priority="4859" operator="endsWith" text="x">
      <formula>RIGHT(A559,LEN("x"))="x"</formula>
    </cfRule>
  </conditionalFormatting>
  <conditionalFormatting sqref="A554:G555 A553:B553 D553 F553:G553">
    <cfRule type="endsWith" dxfId="3940" priority="4865" operator="endsWith" text="x">
      <formula>RIGHT(A553,LEN("x"))="x"</formula>
    </cfRule>
  </conditionalFormatting>
  <conditionalFormatting sqref="C553">
    <cfRule type="endsWith" dxfId="3939" priority="4861" operator="endsWith" text="x">
      <formula>RIGHT(C553,LEN("x"))="x"</formula>
    </cfRule>
  </conditionalFormatting>
  <conditionalFormatting sqref="E553">
    <cfRule type="endsWith" dxfId="3938" priority="4860" operator="endsWith" text="x">
      <formula>RIGHT(E553,LEN("x"))="x"</formula>
    </cfRule>
  </conditionalFormatting>
  <conditionalFormatting sqref="C559">
    <cfRule type="endsWith" dxfId="3937" priority="4856" operator="endsWith" text="x">
      <formula>RIGHT(C559,LEN("x"))="x"</formula>
    </cfRule>
  </conditionalFormatting>
  <conditionalFormatting sqref="E559">
    <cfRule type="endsWith" dxfId="3936" priority="4857" operator="endsWith" text="x">
      <formula>RIGHT(E559,LEN("x"))="x"</formula>
    </cfRule>
  </conditionalFormatting>
  <conditionalFormatting sqref="L149">
    <cfRule type="endsWith" dxfId="3935" priority="4855" operator="endsWith" text="x">
      <formula>RIGHT(L149,LEN("x"))="x"</formula>
    </cfRule>
  </conditionalFormatting>
  <conditionalFormatting sqref="E95">
    <cfRule type="endsWith" dxfId="3934" priority="4854" operator="endsWith" text="x">
      <formula>RIGHT(E95,LEN("x"))="x"</formula>
    </cfRule>
  </conditionalFormatting>
  <conditionalFormatting sqref="C20">
    <cfRule type="expression" dxfId="3933" priority="8003">
      <formula>N17="x"</formula>
    </cfRule>
  </conditionalFormatting>
  <conditionalFormatting sqref="A832:A833">
    <cfRule type="endsWith" dxfId="3932" priority="4835" operator="endsWith" text="x">
      <formula>RIGHT(A832,LEN("x"))="x"</formula>
    </cfRule>
  </conditionalFormatting>
  <conditionalFormatting sqref="B20">
    <cfRule type="expression" dxfId="3931" priority="8549">
      <formula>N17="x"</formula>
    </cfRule>
  </conditionalFormatting>
  <conditionalFormatting sqref="B210">
    <cfRule type="endsWith" dxfId="3930" priority="4769" operator="endsWith" text="x">
      <formula>RIGHT(B210,LEN("x"))="x"</formula>
    </cfRule>
  </conditionalFormatting>
  <conditionalFormatting sqref="B210">
    <cfRule type="endsWith" dxfId="3929" priority="4767" operator="endsWith" text="x">
      <formula>RIGHT(B210,LEN("x"))="x"</formula>
    </cfRule>
  </conditionalFormatting>
  <conditionalFormatting sqref="B210">
    <cfRule type="endsWith" dxfId="3928" priority="4768" operator="endsWith" text="x">
      <formula>RIGHT(B210,LEN("x"))="x"</formula>
    </cfRule>
  </conditionalFormatting>
  <conditionalFormatting sqref="AF191">
    <cfRule type="endsWith" dxfId="3927" priority="3984" operator="endsWith" text="x">
      <formula>RIGHT(AF191,LEN("x"))="x"</formula>
    </cfRule>
  </conditionalFormatting>
  <conditionalFormatting sqref="AF191">
    <cfRule type="endsWith" dxfId="3926" priority="3983" operator="endsWith" text="x">
      <formula>RIGHT(AF191,LEN("x"))="x"</formula>
    </cfRule>
  </conditionalFormatting>
  <conditionalFormatting sqref="AF192">
    <cfRule type="endsWith" dxfId="3925" priority="3982" operator="endsWith" text="x">
      <formula>RIGHT(AF192,LEN("x"))="x"</formula>
    </cfRule>
  </conditionalFormatting>
  <conditionalFormatting sqref="K77:L77">
    <cfRule type="endsWith" dxfId="3924" priority="4756" operator="endsWith" text="x">
      <formula>RIGHT(K77,LEN("x"))="x"</formula>
    </cfRule>
  </conditionalFormatting>
  <conditionalFormatting sqref="A100">
    <cfRule type="endsWith" dxfId="3923" priority="4752" operator="endsWith" text="x">
      <formula>RIGHT(A100,LEN("x"))="x"</formula>
    </cfRule>
  </conditionalFormatting>
  <conditionalFormatting sqref="A108">
    <cfRule type="endsWith" dxfId="3922" priority="4751" operator="endsWith" text="x">
      <formula>RIGHT(A108,LEN("x"))="x"</formula>
    </cfRule>
  </conditionalFormatting>
  <conditionalFormatting sqref="E845">
    <cfRule type="endsWith" dxfId="3921" priority="4665" operator="endsWith" text="x">
      <formula>RIGHT(E845,LEN("x"))="x"</formula>
    </cfRule>
  </conditionalFormatting>
  <conditionalFormatting sqref="A845:G845 A844:H844 A843:G843 J844">
    <cfRule type="endsWith" dxfId="3920" priority="4675" operator="endsWith" text="x">
      <formula>RIGHT(A843,LEN("x"))="x"</formula>
    </cfRule>
  </conditionalFormatting>
  <conditionalFormatting sqref="A843:B845 D843:D845 F844:H844 F845:G845 F843:G843 J844">
    <cfRule type="endsWith" dxfId="3919" priority="4671" operator="endsWith" text="x">
      <formula>RIGHT(A843,LEN("x"))="x"</formula>
    </cfRule>
  </conditionalFormatting>
  <conditionalFormatting sqref="E844">
    <cfRule type="endsWith" dxfId="3918" priority="4666" operator="endsWith" text="x">
      <formula>RIGHT(E844,LEN("x"))="x"</formula>
    </cfRule>
  </conditionalFormatting>
  <conditionalFormatting sqref="C845">
    <cfRule type="endsWith" dxfId="3917" priority="4662" operator="endsWith" text="x">
      <formula>RIGHT(C845,LEN("x"))="x"</formula>
    </cfRule>
  </conditionalFormatting>
  <conditionalFormatting sqref="E842">
    <cfRule type="endsWith" dxfId="3916" priority="4672" operator="endsWith" text="x">
      <formula>RIGHT(E842,LEN("x"))="x"</formula>
    </cfRule>
  </conditionalFormatting>
  <conditionalFormatting sqref="C843">
    <cfRule type="endsWith" dxfId="3915" priority="4664" operator="endsWith" text="x">
      <formula>RIGHT(C843,LEN("x"))="x"</formula>
    </cfRule>
  </conditionalFormatting>
  <conditionalFormatting sqref="C844">
    <cfRule type="endsWith" dxfId="3914" priority="4663" operator="endsWith" text="x">
      <formula>RIGHT(C844,LEN("x"))="x"</formula>
    </cfRule>
  </conditionalFormatting>
  <conditionalFormatting sqref="E843">
    <cfRule type="endsWith" dxfId="3913" priority="4667" operator="endsWith" text="x">
      <formula>RIGHT(E843,LEN("x"))="x"</formula>
    </cfRule>
  </conditionalFormatting>
  <conditionalFormatting sqref="H844 J844">
    <cfRule type="endsWith" dxfId="3912" priority="4670" operator="endsWith" text="x">
      <formula>RIGHT(H844,LEN("x"))="x"</formula>
    </cfRule>
  </conditionalFormatting>
  <conditionalFormatting sqref="G845">
    <cfRule type="endsWith" dxfId="3911" priority="4668" operator="endsWith" text="x">
      <formula>RIGHT(G845,LEN("x"))="x"</formula>
    </cfRule>
  </conditionalFormatting>
  <conditionalFormatting sqref="E52">
    <cfRule type="endsWith" dxfId="3910" priority="4607" operator="endsWith" text="x">
      <formula>RIGHT(E52,LEN("x"))="x"</formula>
    </cfRule>
  </conditionalFormatting>
  <conditionalFormatting sqref="E53">
    <cfRule type="endsWith" dxfId="3909" priority="4606" operator="endsWith" text="x">
      <formula>RIGHT(E53,LEN("x"))="x"</formula>
    </cfRule>
  </conditionalFormatting>
  <conditionalFormatting sqref="B52">
    <cfRule type="endsWith" dxfId="3908" priority="4640" operator="endsWith" text="x">
      <formula>RIGHT(B52,LEN("x"))="x"</formula>
    </cfRule>
  </conditionalFormatting>
  <conditionalFormatting sqref="A52:K53">
    <cfRule type="endsWith" dxfId="3907" priority="4643" operator="endsWith" text="x">
      <formula>RIGHT(A52,LEN("x"))="x"</formula>
    </cfRule>
  </conditionalFormatting>
  <conditionalFormatting sqref="H52:K53">
    <cfRule type="endsWith" dxfId="3906" priority="4611" operator="endsWith" text="x">
      <formula>RIGHT(H52,LEN("x"))="x"</formula>
    </cfRule>
  </conditionalFormatting>
  <conditionalFormatting sqref="A52:B53 D52:D53 F52:G53">
    <cfRule type="endsWith" dxfId="3905" priority="4642" operator="endsWith" text="x">
      <formula>RIGHT(A52,LEN("x"))="x"</formula>
    </cfRule>
  </conditionalFormatting>
  <conditionalFormatting sqref="A53">
    <cfRule type="endsWith" dxfId="3904" priority="4637" operator="endsWith" text="x">
      <formula>RIGHT(A53,LEN("x"))="x"</formula>
    </cfRule>
  </conditionalFormatting>
  <conditionalFormatting sqref="B53 D53 G53">
    <cfRule type="endsWith" dxfId="3903" priority="4636" operator="endsWith" text="x">
      <formula>RIGHT(B53,LEN("x"))="x"</formula>
    </cfRule>
  </conditionalFormatting>
  <conditionalFormatting sqref="F53">
    <cfRule type="endsWith" dxfId="3902" priority="4635" operator="endsWith" text="x">
      <formula>RIGHT(F53,LEN("x"))="x"</formula>
    </cfRule>
  </conditionalFormatting>
  <conditionalFormatting sqref="B261:B263 B259">
    <cfRule type="endsWith" dxfId="3901" priority="4565" operator="endsWith" text="x">
      <formula>RIGHT(B259,LEN("x"))="x"</formula>
    </cfRule>
  </conditionalFormatting>
  <conditionalFormatting sqref="B259 B261:B263">
    <cfRule type="endsWith" dxfId="3900" priority="4564" operator="endsWith" text="x">
      <formula>RIGHT(B259,LEN("x"))="x"</formula>
    </cfRule>
  </conditionalFormatting>
  <conditionalFormatting sqref="B262:B263">
    <cfRule type="endsWith" dxfId="3899" priority="4563" operator="endsWith" text="x">
      <formula>RIGHT(B262,LEN("x"))="x"</formula>
    </cfRule>
  </conditionalFormatting>
  <conditionalFormatting sqref="B261">
    <cfRule type="endsWith" dxfId="3898" priority="4562" operator="endsWith" text="x">
      <formula>RIGHT(B261,LEN("x"))="x"</formula>
    </cfRule>
  </conditionalFormatting>
  <conditionalFormatting sqref="B259">
    <cfRule type="endsWith" dxfId="3897" priority="4561" operator="endsWith" text="x">
      <formula>RIGHT(B259,LEN("x"))="x"</formula>
    </cfRule>
  </conditionalFormatting>
  <conditionalFormatting sqref="C52">
    <cfRule type="endsWith" dxfId="3896" priority="4619" operator="endsWith" text="x">
      <formula>RIGHT(C52,LEN("x"))="x"</formula>
    </cfRule>
  </conditionalFormatting>
  <conditionalFormatting sqref="C52">
    <cfRule type="endsWith" dxfId="3895" priority="4618" operator="endsWith" text="x">
      <formula>RIGHT(C52,LEN("x"))="x"</formula>
    </cfRule>
  </conditionalFormatting>
  <conditionalFormatting sqref="C53">
    <cfRule type="endsWith" dxfId="3894" priority="4617" operator="endsWith" text="x">
      <formula>RIGHT(C53,LEN("x"))="x"</formula>
    </cfRule>
  </conditionalFormatting>
  <conditionalFormatting sqref="C53">
    <cfRule type="endsWith" dxfId="3893" priority="4616" operator="endsWith" text="x">
      <formula>RIGHT(C53,LEN("x"))="x"</formula>
    </cfRule>
  </conditionalFormatting>
  <conditionalFormatting sqref="B290">
    <cfRule type="endsWith" dxfId="3892" priority="4550" operator="endsWith" text="x">
      <formula>RIGHT(B290,LEN("x"))="x"</formula>
    </cfRule>
  </conditionalFormatting>
  <conditionalFormatting sqref="B481:B483 B479">
    <cfRule type="endsWith" dxfId="3891" priority="4549" operator="endsWith" text="x">
      <formula>RIGHT(B479,LEN("x"))="x"</formula>
    </cfRule>
  </conditionalFormatting>
  <conditionalFormatting sqref="B479 B481:B483">
    <cfRule type="endsWith" dxfId="3890" priority="4548" operator="endsWith" text="x">
      <formula>RIGHT(B479,LEN("x"))="x"</formula>
    </cfRule>
  </conditionalFormatting>
  <conditionalFormatting sqref="B482:B483">
    <cfRule type="endsWith" dxfId="3889" priority="4547" operator="endsWith" text="x">
      <formula>RIGHT(B482,LEN("x"))="x"</formula>
    </cfRule>
  </conditionalFormatting>
  <conditionalFormatting sqref="B503 B505:B507">
    <cfRule type="endsWith" dxfId="3888" priority="4540" operator="endsWith" text="x">
      <formula>RIGHT(B503,LEN("x"))="x"</formula>
    </cfRule>
  </conditionalFormatting>
  <conditionalFormatting sqref="B506:B507">
    <cfRule type="endsWith" dxfId="3887" priority="4539" operator="endsWith" text="x">
      <formula>RIGHT(B506,LEN("x"))="x"</formula>
    </cfRule>
  </conditionalFormatting>
  <conditionalFormatting sqref="B504">
    <cfRule type="endsWith" dxfId="3886" priority="4536" operator="endsWith" text="x">
      <formula>RIGHT(B504,LEN("x"))="x"</formula>
    </cfRule>
  </conditionalFormatting>
  <conditionalFormatting sqref="B505">
    <cfRule type="endsWith" dxfId="3885" priority="4538" operator="endsWith" text="x">
      <formula>RIGHT(B505,LEN("x"))="x"</formula>
    </cfRule>
  </conditionalFormatting>
  <conditionalFormatting sqref="B503">
    <cfRule type="endsWith" dxfId="3884" priority="4537" operator="endsWith" text="x">
      <formula>RIGHT(B503,LEN("x"))="x"</formula>
    </cfRule>
  </conditionalFormatting>
  <conditionalFormatting sqref="AI431:AK431 AI432:AL433">
    <cfRule type="endsWith" dxfId="3883" priority="3823" operator="endsWith" text="x">
      <formula>RIGHT(AI431,LEN("x"))="x"</formula>
    </cfRule>
  </conditionalFormatting>
  <conditionalFormatting sqref="A20">
    <cfRule type="expression" dxfId="3882" priority="8675">
      <formula>N17="x"</formula>
    </cfRule>
  </conditionalFormatting>
  <conditionalFormatting sqref="AD431">
    <cfRule type="endsWith" dxfId="3881" priority="3816" operator="endsWith" text="x">
      <formula>RIGHT(AD431,LEN("x"))="x"</formula>
    </cfRule>
  </conditionalFormatting>
  <conditionalFormatting sqref="AD432">
    <cfRule type="endsWith" dxfId="3880" priority="3815" operator="endsWith" text="x">
      <formula>RIGHT(AD432,LEN("x"))="x"</formula>
    </cfRule>
  </conditionalFormatting>
  <conditionalFormatting sqref="AD433">
    <cfRule type="endsWith" dxfId="3879" priority="3814" operator="endsWith" text="x">
      <formula>RIGHT(AD433,LEN("x"))="x"</formula>
    </cfRule>
  </conditionalFormatting>
  <conditionalFormatting sqref="AF340">
    <cfRule type="endsWith" dxfId="3878" priority="3813" operator="endsWith" text="x">
      <formula>RIGHT(AF340,LEN("x"))="x"</formula>
    </cfRule>
  </conditionalFormatting>
  <conditionalFormatting sqref="A96">
    <cfRule type="endsWith" dxfId="3877" priority="4589" operator="endsWith" text="x">
      <formula>RIGHT(A96,LEN("x"))="x"</formula>
    </cfRule>
  </conditionalFormatting>
  <conditionalFormatting sqref="A99">
    <cfRule type="endsWith" dxfId="3876" priority="4588" operator="endsWith" text="x">
      <formula>RIGHT(A99,LEN("x"))="x"</formula>
    </cfRule>
  </conditionalFormatting>
  <conditionalFormatting sqref="AF431">
    <cfRule type="endsWith" dxfId="3875" priority="3810" operator="endsWith" text="x">
      <formula>RIGHT(AF431,LEN("x"))="x"</formula>
    </cfRule>
  </conditionalFormatting>
  <conditionalFormatting sqref="A101">
    <cfRule type="endsWith" dxfId="3874" priority="4586" operator="endsWith" text="x">
      <formula>RIGHT(A101,LEN("x"))="x"</formula>
    </cfRule>
  </conditionalFormatting>
  <conditionalFormatting sqref="A119">
    <cfRule type="endsWith" dxfId="3873" priority="4585" operator="endsWith" text="x">
      <formula>RIGHT(A119,LEN("x"))="x"</formula>
    </cfRule>
  </conditionalFormatting>
  <conditionalFormatting sqref="AB432:AB433">
    <cfRule type="endsWith" dxfId="3872" priority="3807" operator="endsWith" text="x">
      <formula>RIGHT(AB432,LEN("x"))="x"</formula>
    </cfRule>
  </conditionalFormatting>
  <conditionalFormatting sqref="AB402:AB403">
    <cfRule type="endsWith" dxfId="3871" priority="3806" operator="endsWith" text="x">
      <formula>RIGHT(AB402,LEN("x"))="x"</formula>
    </cfRule>
  </conditionalFormatting>
  <conditionalFormatting sqref="AD340">
    <cfRule type="endsWith" dxfId="3870" priority="3805" operator="endsWith" text="x">
      <formula>RIGHT(AD340,LEN("x"))="x"</formula>
    </cfRule>
  </conditionalFormatting>
  <conditionalFormatting sqref="B233:B235 B231">
    <cfRule type="endsWith" dxfId="3869" priority="4581" operator="endsWith" text="x">
      <formula>RIGHT(B231,LEN("x"))="x"</formula>
    </cfRule>
  </conditionalFormatting>
  <conditionalFormatting sqref="B231 B233:B235">
    <cfRule type="endsWith" dxfId="3868" priority="4580" operator="endsWith" text="x">
      <formula>RIGHT(B231,LEN("x"))="x"</formula>
    </cfRule>
  </conditionalFormatting>
  <conditionalFormatting sqref="B234:B235">
    <cfRule type="endsWith" dxfId="3867" priority="4579" operator="endsWith" text="x">
      <formula>RIGHT(B234,LEN("x"))="x"</formula>
    </cfRule>
  </conditionalFormatting>
  <conditionalFormatting sqref="B233">
    <cfRule type="endsWith" dxfId="3866" priority="4578" operator="endsWith" text="x">
      <formula>RIGHT(B233,LEN("x"))="x"</formula>
    </cfRule>
  </conditionalFormatting>
  <conditionalFormatting sqref="B231">
    <cfRule type="endsWith" dxfId="3865" priority="4577" operator="endsWith" text="x">
      <formula>RIGHT(B231,LEN("x"))="x"</formula>
    </cfRule>
  </conditionalFormatting>
  <conditionalFormatting sqref="B232">
    <cfRule type="endsWith" dxfId="3864" priority="4576" operator="endsWith" text="x">
      <formula>RIGHT(B232,LEN("x"))="x"</formula>
    </cfRule>
  </conditionalFormatting>
  <conditionalFormatting sqref="B232">
    <cfRule type="endsWith" dxfId="3863" priority="4574" operator="endsWith" text="x">
      <formula>RIGHT(B232,LEN("x"))="x"</formula>
    </cfRule>
  </conditionalFormatting>
  <conditionalFormatting sqref="B232">
    <cfRule type="endsWith" dxfId="3862" priority="4575" operator="endsWith" text="x">
      <formula>RIGHT(B232,LEN("x"))="x"</formula>
    </cfRule>
  </conditionalFormatting>
  <conditionalFormatting sqref="B247:B249 B245">
    <cfRule type="endsWith" dxfId="3861" priority="4573" operator="endsWith" text="x">
      <formula>RIGHT(B245,LEN("x"))="x"</formula>
    </cfRule>
  </conditionalFormatting>
  <conditionalFormatting sqref="B245 B247:B249">
    <cfRule type="endsWith" dxfId="3860" priority="4572" operator="endsWith" text="x">
      <formula>RIGHT(B245,LEN("x"))="x"</formula>
    </cfRule>
  </conditionalFormatting>
  <conditionalFormatting sqref="B248:B249">
    <cfRule type="endsWith" dxfId="3859" priority="4571" operator="endsWith" text="x">
      <formula>RIGHT(B248,LEN("x"))="x"</formula>
    </cfRule>
  </conditionalFormatting>
  <conditionalFormatting sqref="B246">
    <cfRule type="endsWith" dxfId="3858" priority="4568" operator="endsWith" text="x">
      <formula>RIGHT(B246,LEN("x"))="x"</formula>
    </cfRule>
  </conditionalFormatting>
  <conditionalFormatting sqref="B246">
    <cfRule type="endsWith" dxfId="3857" priority="4566" operator="endsWith" text="x">
      <formula>RIGHT(B246,LEN("x"))="x"</formula>
    </cfRule>
  </conditionalFormatting>
  <conditionalFormatting sqref="B246">
    <cfRule type="endsWith" dxfId="3856" priority="4567" operator="endsWith" text="x">
      <formula>RIGHT(B246,LEN("x"))="x"</formula>
    </cfRule>
  </conditionalFormatting>
  <conditionalFormatting sqref="B260">
    <cfRule type="endsWith" dxfId="3855" priority="4560" operator="endsWith" text="x">
      <formula>RIGHT(B260,LEN("x"))="x"</formula>
    </cfRule>
  </conditionalFormatting>
  <conditionalFormatting sqref="B260">
    <cfRule type="endsWith" dxfId="3854" priority="4558" operator="endsWith" text="x">
      <formula>RIGHT(B260,LEN("x"))="x"</formula>
    </cfRule>
  </conditionalFormatting>
  <conditionalFormatting sqref="B260">
    <cfRule type="endsWith" dxfId="3853" priority="4559" operator="endsWith" text="x">
      <formula>RIGHT(B260,LEN("x"))="x"</formula>
    </cfRule>
  </conditionalFormatting>
  <conditionalFormatting sqref="B291:B293 B289">
    <cfRule type="endsWith" dxfId="3852" priority="4557" operator="endsWith" text="x">
      <formula>RIGHT(B289,LEN("x"))="x"</formula>
    </cfRule>
  </conditionalFormatting>
  <conditionalFormatting sqref="B289 B291:B293">
    <cfRule type="endsWith" dxfId="3851" priority="4556" operator="endsWith" text="x">
      <formula>RIGHT(B289,LEN("x"))="x"</formula>
    </cfRule>
  </conditionalFormatting>
  <conditionalFormatting sqref="B292:B293">
    <cfRule type="endsWith" dxfId="3850" priority="4555" operator="endsWith" text="x">
      <formula>RIGHT(B292,LEN("x"))="x"</formula>
    </cfRule>
  </conditionalFormatting>
  <conditionalFormatting sqref="B291">
    <cfRule type="endsWith" dxfId="3849" priority="4554" operator="endsWith" text="x">
      <formula>RIGHT(B291,LEN("x"))="x"</formula>
    </cfRule>
  </conditionalFormatting>
  <conditionalFormatting sqref="B289">
    <cfRule type="endsWith" dxfId="3848" priority="4553" operator="endsWith" text="x">
      <formula>RIGHT(B289,LEN("x"))="x"</formula>
    </cfRule>
  </conditionalFormatting>
  <conditionalFormatting sqref="B290">
    <cfRule type="endsWith" dxfId="3847" priority="4552" operator="endsWith" text="x">
      <formula>RIGHT(B290,LEN("x"))="x"</formula>
    </cfRule>
  </conditionalFormatting>
  <conditionalFormatting sqref="B290">
    <cfRule type="endsWith" dxfId="3846" priority="4551" operator="endsWith" text="x">
      <formula>RIGHT(B290,LEN("x"))="x"</formula>
    </cfRule>
  </conditionalFormatting>
  <conditionalFormatting sqref="B481">
    <cfRule type="endsWith" dxfId="3845" priority="4546" operator="endsWith" text="x">
      <formula>RIGHT(B481,LEN("x"))="x"</formula>
    </cfRule>
  </conditionalFormatting>
  <conditionalFormatting sqref="B479">
    <cfRule type="endsWith" dxfId="3844" priority="4545" operator="endsWith" text="x">
      <formula>RIGHT(B479,LEN("x"))="x"</formula>
    </cfRule>
  </conditionalFormatting>
  <conditionalFormatting sqref="B480">
    <cfRule type="endsWith" dxfId="3843" priority="4544" operator="endsWith" text="x">
      <formula>RIGHT(B480,LEN("x"))="x"</formula>
    </cfRule>
  </conditionalFormatting>
  <conditionalFormatting sqref="B480">
    <cfRule type="endsWith" dxfId="3842" priority="4542" operator="endsWith" text="x">
      <formula>RIGHT(B480,LEN("x"))="x"</formula>
    </cfRule>
  </conditionalFormatting>
  <conditionalFormatting sqref="B480">
    <cfRule type="endsWith" dxfId="3841" priority="4543" operator="endsWith" text="x">
      <formula>RIGHT(B480,LEN("x"))="x"</formula>
    </cfRule>
  </conditionalFormatting>
  <conditionalFormatting sqref="B505:B507 B503">
    <cfRule type="endsWith" dxfId="3840" priority="4541" operator="endsWith" text="x">
      <formula>RIGHT(B503,LEN("x"))="x"</formula>
    </cfRule>
  </conditionalFormatting>
  <conditionalFormatting sqref="B504">
    <cfRule type="endsWith" dxfId="3839" priority="4534" operator="endsWith" text="x">
      <formula>RIGHT(B504,LEN("x"))="x"</formula>
    </cfRule>
  </conditionalFormatting>
  <conditionalFormatting sqref="B504">
    <cfRule type="endsWith" dxfId="3838" priority="4535" operator="endsWith" text="x">
      <formula>RIGHT(B504,LEN("x"))="x"</formula>
    </cfRule>
  </conditionalFormatting>
  <conditionalFormatting sqref="B653:B655 B651">
    <cfRule type="endsWith" dxfId="3837" priority="4533" operator="endsWith" text="x">
      <formula>RIGHT(B651,LEN("x"))="x"</formula>
    </cfRule>
  </conditionalFormatting>
  <conditionalFormatting sqref="B651 B653:B655">
    <cfRule type="endsWith" dxfId="3836" priority="4532" operator="endsWith" text="x">
      <formula>RIGHT(B651,LEN("x"))="x"</formula>
    </cfRule>
  </conditionalFormatting>
  <conditionalFormatting sqref="B654:B655">
    <cfRule type="endsWith" dxfId="3835" priority="4531" operator="endsWith" text="x">
      <formula>RIGHT(B654,LEN("x"))="x"</formula>
    </cfRule>
  </conditionalFormatting>
  <conditionalFormatting sqref="B653">
    <cfRule type="endsWith" dxfId="3834" priority="4530" operator="endsWith" text="x">
      <formula>RIGHT(B653,LEN("x"))="x"</formula>
    </cfRule>
  </conditionalFormatting>
  <conditionalFormatting sqref="B651">
    <cfRule type="endsWith" dxfId="3833" priority="4529" operator="endsWith" text="x">
      <formula>RIGHT(B651,LEN("x"))="x"</formula>
    </cfRule>
  </conditionalFormatting>
  <conditionalFormatting sqref="B652">
    <cfRule type="endsWith" dxfId="3832" priority="4528" operator="endsWith" text="x">
      <formula>RIGHT(B652,LEN("x"))="x"</formula>
    </cfRule>
  </conditionalFormatting>
  <conditionalFormatting sqref="B652">
    <cfRule type="endsWith" dxfId="3831" priority="4526" operator="endsWith" text="x">
      <formula>RIGHT(B652,LEN("x"))="x"</formula>
    </cfRule>
  </conditionalFormatting>
  <conditionalFormatting sqref="B652">
    <cfRule type="endsWith" dxfId="3830" priority="4527" operator="endsWith" text="x">
      <formula>RIGHT(B652,LEN("x"))="x"</formula>
    </cfRule>
  </conditionalFormatting>
  <conditionalFormatting sqref="B661:B663 B659">
    <cfRule type="endsWith" dxfId="3829" priority="4525" operator="endsWith" text="x">
      <formula>RIGHT(B659,LEN("x"))="x"</formula>
    </cfRule>
  </conditionalFormatting>
  <conditionalFormatting sqref="B659 B661:B663">
    <cfRule type="endsWith" dxfId="3828" priority="4524" operator="endsWith" text="x">
      <formula>RIGHT(B659,LEN("x"))="x"</formula>
    </cfRule>
  </conditionalFormatting>
  <conditionalFormatting sqref="B662:B663">
    <cfRule type="endsWith" dxfId="3827" priority="4523" operator="endsWith" text="x">
      <formula>RIGHT(B662,LEN("x"))="x"</formula>
    </cfRule>
  </conditionalFormatting>
  <conditionalFormatting sqref="B661">
    <cfRule type="endsWith" dxfId="3826" priority="4522" operator="endsWith" text="x">
      <formula>RIGHT(B661,LEN("x"))="x"</formula>
    </cfRule>
  </conditionalFormatting>
  <conditionalFormatting sqref="B659">
    <cfRule type="endsWith" dxfId="3825" priority="4521" operator="endsWith" text="x">
      <formula>RIGHT(B659,LEN("x"))="x"</formula>
    </cfRule>
  </conditionalFormatting>
  <conditionalFormatting sqref="B660">
    <cfRule type="endsWith" dxfId="3824" priority="4520" operator="endsWith" text="x">
      <formula>RIGHT(B660,LEN("x"))="x"</formula>
    </cfRule>
  </conditionalFormatting>
  <conditionalFormatting sqref="B660">
    <cfRule type="endsWith" dxfId="3823" priority="4518" operator="endsWith" text="x">
      <formula>RIGHT(B660,LEN("x"))="x"</formula>
    </cfRule>
  </conditionalFormatting>
  <conditionalFormatting sqref="B660">
    <cfRule type="endsWith" dxfId="3822" priority="4519" operator="endsWith" text="x">
      <formula>RIGHT(B660,LEN("x"))="x"</formula>
    </cfRule>
  </conditionalFormatting>
  <conditionalFormatting sqref="B669:B671 B667">
    <cfRule type="endsWith" dxfId="3821" priority="4517" operator="endsWith" text="x">
      <formula>RIGHT(B667,LEN("x"))="x"</formula>
    </cfRule>
  </conditionalFormatting>
  <conditionalFormatting sqref="B667 B669:B671">
    <cfRule type="endsWith" dxfId="3820" priority="4516" operator="endsWith" text="x">
      <formula>RIGHT(B667,LEN("x"))="x"</formula>
    </cfRule>
  </conditionalFormatting>
  <conditionalFormatting sqref="B670:B671">
    <cfRule type="endsWith" dxfId="3819" priority="4515" operator="endsWith" text="x">
      <formula>RIGHT(B670,LEN("x"))="x"</formula>
    </cfRule>
  </conditionalFormatting>
  <conditionalFormatting sqref="B669">
    <cfRule type="endsWith" dxfId="3818" priority="4514" operator="endsWith" text="x">
      <formula>RIGHT(B669,LEN("x"))="x"</formula>
    </cfRule>
  </conditionalFormatting>
  <conditionalFormatting sqref="B667">
    <cfRule type="endsWith" dxfId="3817" priority="4513" operator="endsWith" text="x">
      <formula>RIGHT(B667,LEN("x"))="x"</formula>
    </cfRule>
  </conditionalFormatting>
  <conditionalFormatting sqref="B668">
    <cfRule type="endsWith" dxfId="3816" priority="4512" operator="endsWith" text="x">
      <formula>RIGHT(B668,LEN("x"))="x"</formula>
    </cfRule>
  </conditionalFormatting>
  <conditionalFormatting sqref="B668">
    <cfRule type="endsWith" dxfId="3815" priority="4510" operator="endsWith" text="x">
      <formula>RIGHT(B668,LEN("x"))="x"</formula>
    </cfRule>
  </conditionalFormatting>
  <conditionalFormatting sqref="B668">
    <cfRule type="endsWith" dxfId="3814" priority="4511" operator="endsWith" text="x">
      <formula>RIGHT(B668,LEN("x"))="x"</formula>
    </cfRule>
  </conditionalFormatting>
  <conditionalFormatting sqref="B677:B679 B675">
    <cfRule type="endsWith" dxfId="3813" priority="4509" operator="endsWith" text="x">
      <formula>RIGHT(B675,LEN("x"))="x"</formula>
    </cfRule>
  </conditionalFormatting>
  <conditionalFormatting sqref="B675 B677:B679">
    <cfRule type="endsWith" dxfId="3812" priority="4508" operator="endsWith" text="x">
      <formula>RIGHT(B675,LEN("x"))="x"</formula>
    </cfRule>
  </conditionalFormatting>
  <conditionalFormatting sqref="B678:B679">
    <cfRule type="endsWith" dxfId="3811" priority="4507" operator="endsWith" text="x">
      <formula>RIGHT(B678,LEN("x"))="x"</formula>
    </cfRule>
  </conditionalFormatting>
  <conditionalFormatting sqref="B677">
    <cfRule type="endsWith" dxfId="3810" priority="4506" operator="endsWith" text="x">
      <formula>RIGHT(B677,LEN("x"))="x"</formula>
    </cfRule>
  </conditionalFormatting>
  <conditionalFormatting sqref="B675">
    <cfRule type="endsWith" dxfId="3809" priority="4505" operator="endsWith" text="x">
      <formula>RIGHT(B675,LEN("x"))="x"</formula>
    </cfRule>
  </conditionalFormatting>
  <conditionalFormatting sqref="B676">
    <cfRule type="endsWith" dxfId="3808" priority="4504" operator="endsWith" text="x">
      <formula>RIGHT(B676,LEN("x"))="x"</formula>
    </cfRule>
  </conditionalFormatting>
  <conditionalFormatting sqref="B676">
    <cfRule type="endsWith" dxfId="3807" priority="4502" operator="endsWith" text="x">
      <formula>RIGHT(B676,LEN("x"))="x"</formula>
    </cfRule>
  </conditionalFormatting>
  <conditionalFormatting sqref="B676">
    <cfRule type="endsWith" dxfId="3806" priority="4503" operator="endsWith" text="x">
      <formula>RIGHT(B676,LEN("x"))="x"</formula>
    </cfRule>
  </conditionalFormatting>
  <conditionalFormatting sqref="B685:B687 B683">
    <cfRule type="endsWith" dxfId="3805" priority="4501" operator="endsWith" text="x">
      <formula>RIGHT(B683,LEN("x"))="x"</formula>
    </cfRule>
  </conditionalFormatting>
  <conditionalFormatting sqref="B683 B685:B687">
    <cfRule type="endsWith" dxfId="3804" priority="4500" operator="endsWith" text="x">
      <formula>RIGHT(B683,LEN("x"))="x"</formula>
    </cfRule>
  </conditionalFormatting>
  <conditionalFormatting sqref="B686:B687">
    <cfRule type="endsWith" dxfId="3803" priority="4499" operator="endsWith" text="x">
      <formula>RIGHT(B686,LEN("x"))="x"</formula>
    </cfRule>
  </conditionalFormatting>
  <conditionalFormatting sqref="B685">
    <cfRule type="endsWith" dxfId="3802" priority="4498" operator="endsWith" text="x">
      <formula>RIGHT(B685,LEN("x"))="x"</formula>
    </cfRule>
  </conditionalFormatting>
  <conditionalFormatting sqref="B683">
    <cfRule type="endsWith" dxfId="3801" priority="4497" operator="endsWith" text="x">
      <formula>RIGHT(B683,LEN("x"))="x"</formula>
    </cfRule>
  </conditionalFormatting>
  <conditionalFormatting sqref="B684">
    <cfRule type="endsWith" dxfId="3800" priority="4496" operator="endsWith" text="x">
      <formula>RIGHT(B684,LEN("x"))="x"</formula>
    </cfRule>
  </conditionalFormatting>
  <conditionalFormatting sqref="B684">
    <cfRule type="endsWith" dxfId="3799" priority="4494" operator="endsWith" text="x">
      <formula>RIGHT(B684,LEN("x"))="x"</formula>
    </cfRule>
  </conditionalFormatting>
  <conditionalFormatting sqref="B684">
    <cfRule type="endsWith" dxfId="3798" priority="4495" operator="endsWith" text="x">
      <formula>RIGHT(B684,LEN("x"))="x"</formula>
    </cfRule>
  </conditionalFormatting>
  <conditionalFormatting sqref="AF354">
    <cfRule type="endsWith" dxfId="3797" priority="3716" operator="endsWith" text="x">
      <formula>RIGHT(AF354,LEN("x"))="x"</formula>
    </cfRule>
  </conditionalFormatting>
  <conditionalFormatting sqref="AB353:AB354">
    <cfRule type="endsWith" dxfId="3796" priority="3715" operator="endsWith" text="x">
      <formula>RIGHT(AB353,LEN("x"))="x"</formula>
    </cfRule>
  </conditionalFormatting>
  <conditionalFormatting sqref="AB369:AL369">
    <cfRule type="endsWith" dxfId="3795" priority="3714" operator="endsWith" text="x">
      <formula>RIGHT(AB369,LEN("x"))="x"</formula>
    </cfRule>
  </conditionalFormatting>
  <conditionalFormatting sqref="AI369:AL369">
    <cfRule type="endsWith" dxfId="3794" priority="3713" operator="endsWith" text="x">
      <formula>RIGHT(AI369,LEN("x"))="x"</formula>
    </cfRule>
  </conditionalFormatting>
  <conditionalFormatting sqref="AF369">
    <cfRule type="endsWith" dxfId="3793" priority="3712" operator="endsWith" text="x">
      <formula>RIGHT(AF369,LEN("x"))="x"</formula>
    </cfRule>
  </conditionalFormatting>
  <conditionalFormatting sqref="AB370:AC370 AE370:AE372 AG370:AL372 AC371:AC372">
    <cfRule type="endsWith" dxfId="3792" priority="3711" operator="endsWith" text="x">
      <formula>RIGHT(AB370,LEN("x"))="x"</formula>
    </cfRule>
  </conditionalFormatting>
  <conditionalFormatting sqref="AI370:AK370 AI371:AL372">
    <cfRule type="endsWith" dxfId="3791" priority="3710" operator="endsWith" text="x">
      <formula>RIGHT(AI370,LEN("x"))="x"</formula>
    </cfRule>
  </conditionalFormatting>
  <conditionalFormatting sqref="AB147 AD147:AL147 AB148:AL150 AB153:AL158 AB161:AL167 AB138:AL146 AB168:AB172 AB182:AB186 AB196:AB200 AB227:AB231 AB417:AB421 AB441:AB445 AB586:AB590 AB594:AB598 AB602:AB607 AB611:AB615 AB619:AB623 AL151:AL152 AL159:AL160 AB173:AL181 AD168:AL172 AB187:AL195 AD182:AL186 AB202:AL226 AD196:AL200 AB232:AL416 AD227:AL231 AB422:AL440 AD417:AL421 AB446:AL585 AD441:AL445 AB591:AL593 AD586:AL590 AB599:AL601 AD594:AL598 AB608:AL610 AD602:AL607 AB616:AL618 AD611:AL615 AB624:AL776 AD619:AL623">
    <cfRule type="endsWith" dxfId="3790" priority="4485" operator="endsWith" text="x">
      <formula>RIGHT(AB138,LEN("x"))="x"</formula>
    </cfRule>
  </conditionalFormatting>
  <conditionalFormatting sqref="AC492">
    <cfRule type="endsWith" dxfId="3789" priority="4484" operator="endsWith" text="x">
      <formula>RIGHT(AC492,LEN("x"))="x"</formula>
    </cfRule>
  </conditionalFormatting>
  <conditionalFormatting sqref="AC141">
    <cfRule type="endsWith" dxfId="3788" priority="4482" operator="endsWith" text="x">
      <formula>RIGHT(AC141,LEN("x"))="x"</formula>
    </cfRule>
  </conditionalFormatting>
  <conditionalFormatting sqref="AC493">
    <cfRule type="endsWith" dxfId="3787" priority="4483" operator="endsWith" text="x">
      <formula>RIGHT(AC493,LEN("x"))="x"</formula>
    </cfRule>
  </conditionalFormatting>
  <conditionalFormatting sqref="AC142">
    <cfRule type="endsWith" dxfId="3786" priority="4481" operator="endsWith" text="x">
      <formula>RIGHT(AC142,LEN("x"))="x"</formula>
    </cfRule>
  </conditionalFormatting>
  <conditionalFormatting sqref="AG140">
    <cfRule type="endsWith" dxfId="3785" priority="4480" operator="endsWith" text="x">
      <formula>RIGHT(AG140,LEN("x"))="x"</formula>
    </cfRule>
  </conditionalFormatting>
  <conditionalFormatting sqref="AH141">
    <cfRule type="endsWith" dxfId="3784" priority="4479" operator="endsWith" text="x">
      <formula>RIGHT(AH141,LEN("x"))="x"</formula>
    </cfRule>
  </conditionalFormatting>
  <conditionalFormatting sqref="AB143">
    <cfRule type="endsWith" dxfId="3783" priority="4478" operator="endsWith" text="x">
      <formula>RIGHT(AB143,LEN("x"))="x"</formula>
    </cfRule>
  </conditionalFormatting>
  <conditionalFormatting sqref="AC143 AE143 AH143">
    <cfRule type="endsWith" dxfId="3782" priority="4477" operator="endsWith" text="x">
      <formula>RIGHT(AC143,LEN("x"))="x"</formula>
    </cfRule>
  </conditionalFormatting>
  <conditionalFormatting sqref="AI750">
    <cfRule type="endsWith" dxfId="3781" priority="4464" operator="endsWith" text="x">
      <formula>RIGHT(AI750,LEN("x"))="x"</formula>
    </cfRule>
  </conditionalFormatting>
  <conditionalFormatting sqref="AG143">
    <cfRule type="endsWith" dxfId="3780" priority="4476" operator="endsWith" text="x">
      <formula>RIGHT(AG143,LEN("x"))="x"</formula>
    </cfRule>
  </conditionalFormatting>
  <conditionalFormatting sqref="AL140">
    <cfRule type="endsWith" dxfId="3779" priority="4475" operator="endsWith" text="x">
      <formula>RIGHT(AL140,LEN("x"))="x"</formula>
    </cfRule>
  </conditionalFormatting>
  <conditionalFormatting sqref="AL491">
    <cfRule type="endsWith" dxfId="3778" priority="4474" operator="endsWith" text="x">
      <formula>RIGHT(AL491,LEN("x"))="x"</formula>
    </cfRule>
  </conditionalFormatting>
  <conditionalFormatting sqref="AL492">
    <cfRule type="endsWith" dxfId="3777" priority="4473" operator="endsWith" text="x">
      <formula>RIGHT(AL492,LEN("x"))="x"</formula>
    </cfRule>
  </conditionalFormatting>
  <conditionalFormatting sqref="AI644">
    <cfRule type="endsWith" dxfId="3776" priority="4472" operator="endsWith" text="x">
      <formula>RIGHT(AI644,LEN("x"))="x"</formula>
    </cfRule>
  </conditionalFormatting>
  <conditionalFormatting sqref="AI645">
    <cfRule type="endsWith" dxfId="3775" priority="4471" operator="endsWith" text="x">
      <formula>RIGHT(AI645,LEN("x"))="x"</formula>
    </cfRule>
  </conditionalFormatting>
  <conditionalFormatting sqref="AI645">
    <cfRule type="endsWith" dxfId="3774" priority="4470" operator="endsWith" text="x">
      <formula>RIGHT(AI645,LEN("x"))="x"</formula>
    </cfRule>
  </conditionalFormatting>
  <conditionalFormatting sqref="AL641">
    <cfRule type="endsWith" dxfId="3773" priority="4467" operator="endsWith" text="x">
      <formula>RIGHT(AL641,LEN("x"))="x"</formula>
    </cfRule>
  </conditionalFormatting>
  <conditionalFormatting sqref="AF491">
    <cfRule type="endsWith" dxfId="3772" priority="4451" operator="endsWith" text="x">
      <formula>RIGHT(AF491,LEN("x"))="x"</formula>
    </cfRule>
  </conditionalFormatting>
  <conditionalFormatting sqref="AC641">
    <cfRule type="endsWith" dxfId="3771" priority="4466" operator="endsWith" text="x">
      <formula>RIGHT(AC641,LEN("x"))="x"</formula>
    </cfRule>
  </conditionalFormatting>
  <conditionalFormatting sqref="AB746:AE746 AB748:AH749 AB747 AD747:AE747 AG746:AH747">
    <cfRule type="endsWith" dxfId="3770" priority="4465" operator="endsWith" text="x">
      <formula>RIGHT(AB746,LEN("x"))="x"</formula>
    </cfRule>
  </conditionalFormatting>
  <conditionalFormatting sqref="AI751">
    <cfRule type="endsWith" dxfId="3769" priority="4463" operator="endsWith" text="x">
      <formula>RIGHT(AI751,LEN("x"))="x"</formula>
    </cfRule>
  </conditionalFormatting>
  <conditionalFormatting sqref="AI751">
    <cfRule type="endsWith" dxfId="3768" priority="4462" operator="endsWith" text="x">
      <formula>RIGHT(AI751,LEN("x"))="x"</formula>
    </cfRule>
  </conditionalFormatting>
  <conditionalFormatting sqref="AI748:AL749">
    <cfRule type="endsWith" dxfId="3767" priority="4461" operator="endsWith" text="x">
      <formula>RIGHT(AI748,LEN("x"))="x"</formula>
    </cfRule>
  </conditionalFormatting>
  <conditionalFormatting sqref="AI747:AK747 AI748:AL749 AI746:AL746">
    <cfRule type="endsWith" dxfId="3766" priority="4460" operator="endsWith" text="x">
      <formula>RIGHT(AI746,LEN("x"))="x"</formula>
    </cfRule>
  </conditionalFormatting>
  <conditionalFormatting sqref="AL747">
    <cfRule type="endsWith" dxfId="3765" priority="4459" operator="endsWith" text="x">
      <formula>RIGHT(AL747,LEN("x"))="x"</formula>
    </cfRule>
  </conditionalFormatting>
  <conditionalFormatting sqref="AC747">
    <cfRule type="endsWith" dxfId="3764" priority="4458" operator="endsWith" text="x">
      <formula>RIGHT(AC747,LEN("x"))="x"</formula>
    </cfRule>
  </conditionalFormatting>
  <conditionalFormatting sqref="AJ750">
    <cfRule type="endsWith" dxfId="3763" priority="4457" operator="endsWith" text="x">
      <formula>RIGHT(AJ750,LEN("x"))="x"</formula>
    </cfRule>
  </conditionalFormatting>
  <conditionalFormatting sqref="AJ751">
    <cfRule type="endsWith" dxfId="3762" priority="4456" operator="endsWith" text="x">
      <formula>RIGHT(AJ751,LEN("x"))="x"</formula>
    </cfRule>
  </conditionalFormatting>
  <conditionalFormatting sqref="AJ751">
    <cfRule type="endsWith" dxfId="3761" priority="4455" operator="endsWith" text="x">
      <formula>RIGHT(AJ751,LEN("x"))="x"</formula>
    </cfRule>
  </conditionalFormatting>
  <conditionalFormatting sqref="AI668:AK668 AI669:AL670 AI667:AL667">
    <cfRule type="endsWith" dxfId="3760" priority="4444" operator="endsWith" text="x">
      <formula>RIGHT(AI667,LEN("x"))="x"</formula>
    </cfRule>
  </conditionalFormatting>
  <conditionalFormatting sqref="AF746">
    <cfRule type="endsWith" dxfId="3759" priority="4454" operator="endsWith" text="x">
      <formula>RIGHT(AF746,LEN("x"))="x"</formula>
    </cfRule>
  </conditionalFormatting>
  <conditionalFormatting sqref="AF640">
    <cfRule type="endsWith" dxfId="3758" priority="4453" operator="endsWith" text="x">
      <formula>RIGHT(AF640,LEN("x"))="x"</formula>
    </cfRule>
  </conditionalFormatting>
  <conditionalFormatting sqref="AF139">
    <cfRule type="endsWith" dxfId="3757" priority="4452" operator="endsWith" text="x">
      <formula>RIGHT(AF139,LEN("x"))="x"</formula>
    </cfRule>
  </conditionalFormatting>
  <conditionalFormatting sqref="AB673:AL677 AL671:AL672 AB671:AJ672">
    <cfRule type="endsWith" dxfId="3756" priority="4450" operator="endsWith" text="x">
      <formula>RIGHT(AB671,LEN("x"))="x"</formula>
    </cfRule>
  </conditionalFormatting>
  <conditionalFormatting sqref="AB667:AE667 AB669:AH670 AB668 AD668:AH668 AG667:AH667">
    <cfRule type="endsWith" dxfId="3755" priority="4449" operator="endsWith" text="x">
      <formula>RIGHT(AB667,LEN("x"))="x"</formula>
    </cfRule>
  </conditionalFormatting>
  <conditionalFormatting sqref="AI671">
    <cfRule type="endsWith" dxfId="3754" priority="4448" operator="endsWith" text="x">
      <formula>RIGHT(AI671,LEN("x"))="x"</formula>
    </cfRule>
  </conditionalFormatting>
  <conditionalFormatting sqref="AI672">
    <cfRule type="endsWith" dxfId="3753" priority="4447" operator="endsWith" text="x">
      <formula>RIGHT(AI672,LEN("x"))="x"</formula>
    </cfRule>
  </conditionalFormatting>
  <conditionalFormatting sqref="AL668">
    <cfRule type="endsWith" dxfId="3752" priority="4443" operator="endsWith" text="x">
      <formula>RIGHT(AL668,LEN("x"))="x"</formula>
    </cfRule>
  </conditionalFormatting>
  <conditionalFormatting sqref="AC668">
    <cfRule type="endsWith" dxfId="3751" priority="4442" operator="endsWith" text="x">
      <formula>RIGHT(AC668,LEN("x"))="x"</formula>
    </cfRule>
  </conditionalFormatting>
  <conditionalFormatting sqref="AJ671">
    <cfRule type="endsWith" dxfId="3750" priority="4441" operator="endsWith" text="x">
      <formula>RIGHT(AJ671,LEN("x"))="x"</formula>
    </cfRule>
  </conditionalFormatting>
  <conditionalFormatting sqref="AJ672">
    <cfRule type="endsWith" dxfId="3749" priority="4440" operator="endsWith" text="x">
      <formula>RIGHT(AJ672,LEN("x"))="x"</formula>
    </cfRule>
  </conditionalFormatting>
  <conditionalFormatting sqref="AJ672">
    <cfRule type="endsWith" dxfId="3748" priority="4439" operator="endsWith" text="x">
      <formula>RIGHT(AJ672,LEN("x"))="x"</formula>
    </cfRule>
  </conditionalFormatting>
  <conditionalFormatting sqref="AF667">
    <cfRule type="endsWith" dxfId="3747" priority="4438" operator="endsWith" text="x">
      <formula>RIGHT(AF667,LEN("x"))="x"</formula>
    </cfRule>
  </conditionalFormatting>
  <conditionalFormatting sqref="AL589:AL590 AB589:AB590 AD589:AJ590">
    <cfRule type="endsWith" dxfId="3746" priority="4437" operator="endsWith" text="x">
      <formula>RIGHT(AB589,LEN("x"))="x"</formula>
    </cfRule>
  </conditionalFormatting>
  <conditionalFormatting sqref="AB585:AE585 AG585:AH585 AB586:AB588 AD586:AH588">
    <cfRule type="endsWith" dxfId="3745" priority="4436" operator="endsWith" text="x">
      <formula>RIGHT(AB585,LEN("x"))="x"</formula>
    </cfRule>
  </conditionalFormatting>
  <conditionalFormatting sqref="AI589">
    <cfRule type="endsWith" dxfId="3744" priority="4435" operator="endsWith" text="x">
      <formula>RIGHT(AI589,LEN("x"))="x"</formula>
    </cfRule>
  </conditionalFormatting>
  <conditionalFormatting sqref="AI590">
    <cfRule type="endsWith" dxfId="3743" priority="4434" operator="endsWith" text="x">
      <formula>RIGHT(AI590,LEN("x"))="x"</formula>
    </cfRule>
  </conditionalFormatting>
  <conditionalFormatting sqref="AI590">
    <cfRule type="endsWith" dxfId="3742" priority="4433" operator="endsWith" text="x">
      <formula>RIGHT(AI590,LEN("x"))="x"</formula>
    </cfRule>
  </conditionalFormatting>
  <conditionalFormatting sqref="AI587:AL588">
    <cfRule type="endsWith" dxfId="3741" priority="4432" operator="endsWith" text="x">
      <formula>RIGHT(AI587,LEN("x"))="x"</formula>
    </cfRule>
  </conditionalFormatting>
  <conditionalFormatting sqref="AI586:AK586 AI587:AL588 AI585:AL585">
    <cfRule type="endsWith" dxfId="3740" priority="4431" operator="endsWith" text="x">
      <formula>RIGHT(AI585,LEN("x"))="x"</formula>
    </cfRule>
  </conditionalFormatting>
  <conditionalFormatting sqref="AL586">
    <cfRule type="endsWith" dxfId="3739" priority="4430" operator="endsWith" text="x">
      <formula>RIGHT(AL586,LEN("x"))="x"</formula>
    </cfRule>
  </conditionalFormatting>
  <conditionalFormatting sqref="AD498:AD500">
    <cfRule type="endsWith" dxfId="3738" priority="4399" operator="endsWith" text="x">
      <formula>RIGHT(AD498,LEN("x"))="x"</formula>
    </cfRule>
  </conditionalFormatting>
  <conditionalFormatting sqref="AJ589">
    <cfRule type="endsWith" dxfId="3737" priority="4429" operator="endsWith" text="x">
      <formula>RIGHT(AJ589,LEN("x"))="x"</formula>
    </cfRule>
  </conditionalFormatting>
  <conditionalFormatting sqref="AJ590">
    <cfRule type="endsWith" dxfId="3736" priority="4428" operator="endsWith" text="x">
      <formula>RIGHT(AJ590,LEN("x"))="x"</formula>
    </cfRule>
  </conditionalFormatting>
  <conditionalFormatting sqref="AJ590">
    <cfRule type="endsWith" dxfId="3735" priority="4427" operator="endsWith" text="x">
      <formula>RIGHT(AJ590,LEN("x"))="x"</formula>
    </cfRule>
  </conditionalFormatting>
  <conditionalFormatting sqref="AF585">
    <cfRule type="endsWith" dxfId="3734" priority="4426" operator="endsWith" text="x">
      <formula>RIGHT(AF585,LEN("x"))="x"</formula>
    </cfRule>
  </conditionalFormatting>
  <conditionalFormatting sqref="AK763:AL764 AI763:AI764">
    <cfRule type="endsWith" dxfId="3733" priority="4425" operator="endsWith" text="x">
      <formula>RIGHT(AI763,LEN("x"))="x"</formula>
    </cfRule>
  </conditionalFormatting>
  <conditionalFormatting sqref="AH759">
    <cfRule type="endsWith" dxfId="3732" priority="4424" operator="endsWith" text="x">
      <formula>RIGHT(AH759,LEN("x"))="x"</formula>
    </cfRule>
  </conditionalFormatting>
  <conditionalFormatting sqref="AI763">
    <cfRule type="endsWith" dxfId="3731" priority="4423" operator="endsWith" text="x">
      <formula>RIGHT(AI763,LEN("x"))="x"</formula>
    </cfRule>
  </conditionalFormatting>
  <conditionalFormatting sqref="AI764">
    <cfRule type="endsWith" dxfId="3730" priority="4422" operator="endsWith" text="x">
      <formula>RIGHT(AI764,LEN("x"))="x"</formula>
    </cfRule>
  </conditionalFormatting>
  <conditionalFormatting sqref="AI764">
    <cfRule type="endsWith" dxfId="3729" priority="4421" operator="endsWith" text="x">
      <formula>RIGHT(AI764,LEN("x"))="x"</formula>
    </cfRule>
  </conditionalFormatting>
  <conditionalFormatting sqref="AI761:AL762">
    <cfRule type="endsWith" dxfId="3728" priority="4420" operator="endsWith" text="x">
      <formula>RIGHT(AI761,LEN("x"))="x"</formula>
    </cfRule>
  </conditionalFormatting>
  <conditionalFormatting sqref="AI761:AL762">
    <cfRule type="endsWith" dxfId="3727" priority="4419" operator="endsWith" text="x">
      <formula>RIGHT(AI761,LEN("x"))="x"</formula>
    </cfRule>
  </conditionalFormatting>
  <conditionalFormatting sqref="AJ760">
    <cfRule type="endsWith" dxfId="3726" priority="4418" operator="endsWith" text="x">
      <formula>RIGHT(AJ760,LEN("x"))="x"</formula>
    </cfRule>
  </conditionalFormatting>
  <conditionalFormatting sqref="AI769:AL770 AH770">
    <cfRule type="endsWith" dxfId="3725" priority="4417" operator="endsWith" text="x">
      <formula>RIGHT(AH769,LEN("x"))="x"</formula>
    </cfRule>
  </conditionalFormatting>
  <conditionalFormatting sqref="AH769">
    <cfRule type="endsWith" dxfId="3724" priority="4416" operator="endsWith" text="x">
      <formula>RIGHT(AH769,LEN("x"))="x"</formula>
    </cfRule>
  </conditionalFormatting>
  <conditionalFormatting sqref="AK768">
    <cfRule type="endsWith" dxfId="3723" priority="4415" operator="endsWith" text="x">
      <formula>RIGHT(AK768,LEN("x"))="x"</formula>
    </cfRule>
  </conditionalFormatting>
  <conditionalFormatting sqref="AH562:AL562 AH776 AH773">
    <cfRule type="endsWith" dxfId="3722" priority="4414" operator="endsWith" text="x">
      <formula>RIGHT(AH562,LEN("x"))="x"</formula>
    </cfRule>
  </conditionalFormatting>
  <conditionalFormatting sqref="AH775">
    <cfRule type="endsWith" dxfId="3721" priority="4413" operator="endsWith" text="x">
      <formula>RIGHT(AH775,LEN("x"))="x"</formula>
    </cfRule>
  </conditionalFormatting>
  <conditionalFormatting sqref="AH561">
    <cfRule type="endsWith" dxfId="3720" priority="4412" operator="endsWith" text="x">
      <formula>RIGHT(AH561,LEN("x"))="x"</formula>
    </cfRule>
  </conditionalFormatting>
  <conditionalFormatting sqref="AB504:AC506 AB503:AE503 AG503:AK503 AE505:AL505 AE504:AK504 AE506:AG506 AI506:AL506">
    <cfRule type="endsWith" dxfId="3719" priority="4398" operator="endsWith" text="x">
      <formula>RIGHT(AB503,LEN("x"))="x"</formula>
    </cfRule>
  </conditionalFormatting>
  <conditionalFormatting sqref="AL498">
    <cfRule type="endsWith" dxfId="3718" priority="4401" operator="endsWith" text="x">
      <formula>RIGHT(AL498,LEN("x"))="x"</formula>
    </cfRule>
  </conditionalFormatting>
  <conditionalFormatting sqref="AF497">
    <cfRule type="endsWith" dxfId="3717" priority="4400" operator="endsWith" text="x">
      <formula>RIGHT(AF497,LEN("x"))="x"</formula>
    </cfRule>
  </conditionalFormatting>
  <conditionalFormatting sqref="AI774:AJ774 AI773:AK773">
    <cfRule type="endsWith" dxfId="3716" priority="4411" operator="endsWith" text="x">
      <formula>RIGHT(AI773,LEN("x"))="x"</formula>
    </cfRule>
  </conditionalFormatting>
  <conditionalFormatting sqref="AI775:AL776">
    <cfRule type="endsWith" dxfId="3715" priority="4410" operator="endsWith" text="x">
      <formula>RIGHT(AI775,LEN("x"))="x"</formula>
    </cfRule>
  </conditionalFormatting>
  <conditionalFormatting sqref="AK774">
    <cfRule type="endsWith" dxfId="3714" priority="4409" operator="endsWith" text="x">
      <formula>RIGHT(AK774,LEN("x"))="x"</formula>
    </cfRule>
  </conditionalFormatting>
  <conditionalFormatting sqref="AB762">
    <cfRule type="endsWith" dxfId="3713" priority="4408" operator="endsWith" text="x">
      <formula>RIGHT(AB762,LEN("x"))="x"</formula>
    </cfRule>
  </conditionalFormatting>
  <conditionalFormatting sqref="AB763">
    <cfRule type="endsWith" dxfId="3712" priority="4407" operator="endsWith" text="x">
      <formula>RIGHT(AB763,LEN("x"))="x"</formula>
    </cfRule>
  </conditionalFormatting>
  <conditionalFormatting sqref="AB764">
    <cfRule type="endsWith" dxfId="3711" priority="4406" operator="endsWith" text="x">
      <formula>RIGHT(AB764,LEN("x"))="x"</formula>
    </cfRule>
  </conditionalFormatting>
  <conditionalFormatting sqref="AB498:AC500 AB497:AE497 AG497:AK497 AE499:AL499 AE498:AK498 AE500:AG500 AI500:AL500">
    <cfRule type="endsWith" dxfId="3710" priority="4405" operator="endsWith" text="x">
      <formula>RIGHT(AB497,LEN("x"))="x"</formula>
    </cfRule>
  </conditionalFormatting>
  <conditionalFormatting sqref="AC498">
    <cfRule type="endsWith" dxfId="3709" priority="4404" operator="endsWith" text="x">
      <formula>RIGHT(AC498,LEN("x"))="x"</formula>
    </cfRule>
  </conditionalFormatting>
  <conditionalFormatting sqref="AC499">
    <cfRule type="endsWith" dxfId="3708" priority="4403" operator="endsWith" text="x">
      <formula>RIGHT(AC499,LEN("x"))="x"</formula>
    </cfRule>
  </conditionalFormatting>
  <conditionalFormatting sqref="AL497">
    <cfRule type="endsWith" dxfId="3707" priority="4402" operator="endsWith" text="x">
      <formula>RIGHT(AL497,LEN("x"))="x"</formula>
    </cfRule>
  </conditionalFormatting>
  <conditionalFormatting sqref="AD504:AD506">
    <cfRule type="endsWith" dxfId="3706" priority="4392" operator="endsWith" text="x">
      <formula>RIGHT(AD504,LEN("x"))="x"</formula>
    </cfRule>
  </conditionalFormatting>
  <conditionalFormatting sqref="AL504">
    <cfRule type="endsWith" dxfId="3705" priority="4394" operator="endsWith" text="x">
      <formula>RIGHT(AL504,LEN("x"))="x"</formula>
    </cfRule>
  </conditionalFormatting>
  <conditionalFormatting sqref="AF503">
    <cfRule type="endsWith" dxfId="3704" priority="4393" operator="endsWith" text="x">
      <formula>RIGHT(AF503,LEN("x"))="x"</formula>
    </cfRule>
  </conditionalFormatting>
  <conditionalFormatting sqref="AC504">
    <cfRule type="endsWith" dxfId="3703" priority="4397" operator="endsWith" text="x">
      <formula>RIGHT(AC504,LEN("x"))="x"</formula>
    </cfRule>
  </conditionalFormatting>
  <conditionalFormatting sqref="AC505">
    <cfRule type="endsWith" dxfId="3702" priority="4396" operator="endsWith" text="x">
      <formula>RIGHT(AC505,LEN("x"))="x"</formula>
    </cfRule>
  </conditionalFormatting>
  <conditionalFormatting sqref="AL503">
    <cfRule type="endsWith" dxfId="3701" priority="4395" operator="endsWith" text="x">
      <formula>RIGHT(AL503,LEN("x"))="x"</formula>
    </cfRule>
  </conditionalFormatting>
  <conditionalFormatting sqref="AB523:AK523 AB522:AE522 AG522:AK522 AB524:AL525">
    <cfRule type="endsWith" dxfId="3700" priority="4376" operator="endsWith" text="x">
      <formula>RIGHT(AB522,LEN("x"))="x"</formula>
    </cfRule>
  </conditionalFormatting>
  <conditionalFormatting sqref="AC523">
    <cfRule type="endsWith" dxfId="3699" priority="4375" operator="endsWith" text="x">
      <formula>RIGHT(AC523,LEN("x"))="x"</formula>
    </cfRule>
  </conditionalFormatting>
  <conditionalFormatting sqref="AC524">
    <cfRule type="endsWith" dxfId="3698" priority="4374" operator="endsWith" text="x">
      <formula>RIGHT(AC524,LEN("x"))="x"</formula>
    </cfRule>
  </conditionalFormatting>
  <conditionalFormatting sqref="AL522">
    <cfRule type="endsWith" dxfId="3697" priority="4373" operator="endsWith" text="x">
      <formula>RIGHT(AL522,LEN("x"))="x"</formula>
    </cfRule>
  </conditionalFormatting>
  <conditionalFormatting sqref="AL523">
    <cfRule type="endsWith" dxfId="3696" priority="4372" operator="endsWith" text="x">
      <formula>RIGHT(AL523,LEN("x"))="x"</formula>
    </cfRule>
  </conditionalFormatting>
  <conditionalFormatting sqref="AF522">
    <cfRule type="endsWith" dxfId="3695" priority="4371" operator="endsWith" text="x">
      <formula>RIGHT(AF522,LEN("x"))="x"</formula>
    </cfRule>
  </conditionalFormatting>
  <conditionalFormatting sqref="AB509">
    <cfRule type="endsWith" dxfId="3694" priority="4391" operator="endsWith" text="x">
      <formula>RIGHT(AB509,LEN("x"))="x"</formula>
    </cfRule>
  </conditionalFormatting>
  <conditionalFormatting sqref="AD510:AD513">
    <cfRule type="endsWith" dxfId="3693" priority="4384" operator="endsWith" text="x">
      <formula>RIGHT(AD510,LEN("x"))="x"</formula>
    </cfRule>
  </conditionalFormatting>
  <conditionalFormatting sqref="AL510:AL511">
    <cfRule type="endsWith" dxfId="3692" priority="4386" operator="endsWith" text="x">
      <formula>RIGHT(AL510,LEN("x"))="x"</formula>
    </cfRule>
  </conditionalFormatting>
  <conditionalFormatting sqref="AF509">
    <cfRule type="endsWith" dxfId="3691" priority="4385" operator="endsWith" text="x">
      <formula>RIGHT(AF509,LEN("x"))="x"</formula>
    </cfRule>
  </conditionalFormatting>
  <conditionalFormatting sqref="AB510:AC513 AB509:AE509 AG509:AK509 AE512:AL512 AE510:AK511 AE513:AG513 AI513:AL513">
    <cfRule type="endsWith" dxfId="3690" priority="4390" operator="endsWith" text="x">
      <formula>RIGHT(AB509,LEN("x"))="x"</formula>
    </cfRule>
  </conditionalFormatting>
  <conditionalFormatting sqref="AC510:AC511">
    <cfRule type="endsWith" dxfId="3689" priority="4389" operator="endsWith" text="x">
      <formula>RIGHT(AC510,LEN("x"))="x"</formula>
    </cfRule>
  </conditionalFormatting>
  <conditionalFormatting sqref="AC512">
    <cfRule type="endsWith" dxfId="3688" priority="4388" operator="endsWith" text="x">
      <formula>RIGHT(AC512,LEN("x"))="x"</formula>
    </cfRule>
  </conditionalFormatting>
  <conditionalFormatting sqref="AL509">
    <cfRule type="endsWith" dxfId="3687" priority="4387" operator="endsWith" text="x">
      <formula>RIGHT(AL509,LEN("x"))="x"</formula>
    </cfRule>
  </conditionalFormatting>
  <conditionalFormatting sqref="AB518:AL518 AB516:AE517 AG516:AK517 AB519:AG519 AI519:AL519">
    <cfRule type="endsWith" dxfId="3686" priority="4383" operator="endsWith" text="x">
      <formula>RIGHT(AB516,LEN("x"))="x"</formula>
    </cfRule>
  </conditionalFormatting>
  <conditionalFormatting sqref="AC517">
    <cfRule type="endsWith" dxfId="3685" priority="4382" operator="endsWith" text="x">
      <formula>RIGHT(AC517,LEN("x"))="x"</formula>
    </cfRule>
  </conditionalFormatting>
  <conditionalFormatting sqref="AC518">
    <cfRule type="endsWith" dxfId="3684" priority="4381" operator="endsWith" text="x">
      <formula>RIGHT(AC518,LEN("x"))="x"</formula>
    </cfRule>
  </conditionalFormatting>
  <conditionalFormatting sqref="AL516">
    <cfRule type="endsWith" dxfId="3683" priority="4380" operator="endsWith" text="x">
      <formula>RIGHT(AL516,LEN("x"))="x"</formula>
    </cfRule>
  </conditionalFormatting>
  <conditionalFormatting sqref="AL517">
    <cfRule type="endsWith" dxfId="3682" priority="4379" operator="endsWith" text="x">
      <formula>RIGHT(AL517,LEN("x"))="x"</formula>
    </cfRule>
  </conditionalFormatting>
  <conditionalFormatting sqref="AF516">
    <cfRule type="endsWith" dxfId="3681" priority="4378" operator="endsWith" text="x">
      <formula>RIGHT(AF516,LEN("x"))="x"</formula>
    </cfRule>
  </conditionalFormatting>
  <conditionalFormatting sqref="AF517">
    <cfRule type="endsWith" dxfId="3680" priority="4377" operator="endsWith" text="x">
      <formula>RIGHT(AF517,LEN("x"))="x"</formula>
    </cfRule>
  </conditionalFormatting>
  <conditionalFormatting sqref="AL558">
    <cfRule type="endsWith" dxfId="3679" priority="4354" operator="endsWith" text="x">
      <formula>RIGHT(AL558,LEN("x"))="x"</formula>
    </cfRule>
  </conditionalFormatting>
  <conditionalFormatting sqref="AB529:AE529 AB530:AK530 AB531:AL532 AG529:AJ529">
    <cfRule type="endsWith" dxfId="3678" priority="4370" operator="endsWith" text="x">
      <formula>RIGHT(AB529,LEN("x"))="x"</formula>
    </cfRule>
  </conditionalFormatting>
  <conditionalFormatting sqref="AF529">
    <cfRule type="endsWith" dxfId="3677" priority="4369" operator="endsWith" text="x">
      <formula>RIGHT(AF529,LEN("x"))="x"</formula>
    </cfRule>
  </conditionalFormatting>
  <conditionalFormatting sqref="AL530">
    <cfRule type="endsWith" dxfId="3676" priority="4368" operator="endsWith" text="x">
      <formula>RIGHT(AL530,LEN("x"))="x"</formula>
    </cfRule>
  </conditionalFormatting>
  <conditionalFormatting sqref="AH519">
    <cfRule type="endsWith" dxfId="3675" priority="4367" operator="endsWith" text="x">
      <formula>RIGHT(AH519,LEN("x"))="x"</formula>
    </cfRule>
  </conditionalFormatting>
  <conditionalFormatting sqref="AH513">
    <cfRule type="endsWith" dxfId="3674" priority="4366" operator="endsWith" text="x">
      <formula>RIGHT(AH513,LEN("x"))="x"</formula>
    </cfRule>
  </conditionalFormatting>
  <conditionalFormatting sqref="AH506">
    <cfRule type="endsWith" dxfId="3673" priority="4365" operator="endsWith" text="x">
      <formula>RIGHT(AH506,LEN("x"))="x"</formula>
    </cfRule>
  </conditionalFormatting>
  <conditionalFormatting sqref="AH500">
    <cfRule type="endsWith" dxfId="3672" priority="4364" operator="endsWith" text="x">
      <formula>RIGHT(AH500,LEN("x"))="x"</formula>
    </cfRule>
  </conditionalFormatting>
  <conditionalFormatting sqref="AH494">
    <cfRule type="endsWith" dxfId="3671" priority="4363" operator="endsWith" text="x">
      <formula>RIGHT(AH494,LEN("x"))="x"</formula>
    </cfRule>
  </conditionalFormatting>
  <conditionalFormatting sqref="AB535:AE535 AB536:AK536 AB537:AL538 AG535:AJ535">
    <cfRule type="endsWith" dxfId="3670" priority="4362" operator="endsWith" text="x">
      <formula>RIGHT(AB535,LEN("x"))="x"</formula>
    </cfRule>
  </conditionalFormatting>
  <conditionalFormatting sqref="AF535">
    <cfRule type="endsWith" dxfId="3669" priority="4361" operator="endsWith" text="x">
      <formula>RIGHT(AF535,LEN("x"))="x"</formula>
    </cfRule>
  </conditionalFormatting>
  <conditionalFormatting sqref="AL536">
    <cfRule type="endsWith" dxfId="3668" priority="4360" operator="endsWith" text="x">
      <formula>RIGHT(AL536,LEN("x"))="x"</formula>
    </cfRule>
  </conditionalFormatting>
  <conditionalFormatting sqref="AB551:AE551 AB552:AK552 AB553:AL554 AG551:AJ551">
    <cfRule type="endsWith" dxfId="3667" priority="4359" operator="endsWith" text="x">
      <formula>RIGHT(AB551,LEN("x"))="x"</formula>
    </cfRule>
  </conditionalFormatting>
  <conditionalFormatting sqref="AF551">
    <cfRule type="endsWith" dxfId="3666" priority="4358" operator="endsWith" text="x">
      <formula>RIGHT(AF551,LEN("x"))="x"</formula>
    </cfRule>
  </conditionalFormatting>
  <conditionalFormatting sqref="AL552">
    <cfRule type="endsWith" dxfId="3665" priority="4357" operator="endsWith" text="x">
      <formula>RIGHT(AL552,LEN("x"))="x"</formula>
    </cfRule>
  </conditionalFormatting>
  <conditionalFormatting sqref="AB557:AE557 AB558:AK558 AB559:AL560 AG557:AJ557">
    <cfRule type="endsWith" dxfId="3664" priority="4356" operator="endsWith" text="x">
      <formula>RIGHT(AB557,LEN("x"))="x"</formula>
    </cfRule>
  </conditionalFormatting>
  <conditionalFormatting sqref="AF557">
    <cfRule type="endsWith" dxfId="3663" priority="4355" operator="endsWith" text="x">
      <formula>RIGHT(AF557,LEN("x"))="x"</formula>
    </cfRule>
  </conditionalFormatting>
  <conditionalFormatting sqref="AB563:AE563 AB564:AK565 AB566:AL567 AG563:AJ563">
    <cfRule type="endsWith" dxfId="3662" priority="4353" operator="endsWith" text="x">
      <formula>RIGHT(AB563,LEN("x"))="x"</formula>
    </cfRule>
  </conditionalFormatting>
  <conditionalFormatting sqref="AF563">
    <cfRule type="endsWith" dxfId="3661" priority="4352" operator="endsWith" text="x">
      <formula>RIGHT(AF563,LEN("x"))="x"</formula>
    </cfRule>
  </conditionalFormatting>
  <conditionalFormatting sqref="AL564:AL565">
    <cfRule type="endsWith" dxfId="3660" priority="4351" operator="endsWith" text="x">
      <formula>RIGHT(AL564,LEN("x"))="x"</formula>
    </cfRule>
  </conditionalFormatting>
  <conditionalFormatting sqref="AG571">
    <cfRule type="endsWith" dxfId="3659" priority="4350" operator="endsWith" text="x">
      <formula>RIGHT(AG571,LEN("x"))="x"</formula>
    </cfRule>
  </conditionalFormatting>
  <conditionalFormatting sqref="AI572:AL573 AI571:AK571 AI570:AJ570">
    <cfRule type="endsWith" dxfId="3658" priority="4349" operator="endsWith" text="x">
      <formula>RIGHT(AI570,LEN("x"))="x"</formula>
    </cfRule>
  </conditionalFormatting>
  <conditionalFormatting sqref="AL571">
    <cfRule type="endsWith" dxfId="3657" priority="4348" operator="endsWith" text="x">
      <formula>RIGHT(AL571,LEN("x"))="x"</formula>
    </cfRule>
  </conditionalFormatting>
  <conditionalFormatting sqref="AL577">
    <cfRule type="endsWith" dxfId="3656" priority="4345" operator="endsWith" text="x">
      <formula>RIGHT(AL577,LEN("x"))="x"</formula>
    </cfRule>
  </conditionalFormatting>
  <conditionalFormatting sqref="AB576:AE576 AI577:AK577 AI578:AL579 AG576:AJ576">
    <cfRule type="endsWith" dxfId="3655" priority="4347" operator="endsWith" text="x">
      <formula>RIGHT(AB576,LEN("x"))="x"</formula>
    </cfRule>
  </conditionalFormatting>
  <conditionalFormatting sqref="AF576">
    <cfRule type="endsWith" dxfId="3654" priority="4346" operator="endsWith" text="x">
      <formula>RIGHT(AF576,LEN("x"))="x"</formula>
    </cfRule>
  </conditionalFormatting>
  <conditionalFormatting sqref="AB578:AH581">
    <cfRule type="endsWith" dxfId="3653" priority="4344" operator="endsWith" text="x">
      <formula>RIGHT(AB578,LEN("x"))="x"</formula>
    </cfRule>
  </conditionalFormatting>
  <conditionalFormatting sqref="AC578">
    <cfRule type="endsWith" dxfId="3652" priority="4343" operator="endsWith" text="x">
      <formula>RIGHT(AC578,LEN("x"))="x"</formula>
    </cfRule>
  </conditionalFormatting>
  <conditionalFormatting sqref="AC579">
    <cfRule type="endsWith" dxfId="3651" priority="4342" operator="endsWith" text="x">
      <formula>RIGHT(AC579,LEN("x"))="x"</formula>
    </cfRule>
  </conditionalFormatting>
  <conditionalFormatting sqref="AD577">
    <cfRule type="endsWith" dxfId="3650" priority="4341" operator="endsWith" text="x">
      <formula>RIGHT(AD577,LEN("x"))="x"</formula>
    </cfRule>
  </conditionalFormatting>
  <conditionalFormatting sqref="AF577">
    <cfRule type="endsWith" dxfId="3649" priority="4340" operator="endsWith" text="x">
      <formula>RIGHT(AF577,LEN("x"))="x"</formula>
    </cfRule>
  </conditionalFormatting>
  <conditionalFormatting sqref="AG577">
    <cfRule type="endsWith" dxfId="3648" priority="4339" operator="endsWith" text="x">
      <formula>RIGHT(AG577,LEN("x"))="x"</formula>
    </cfRule>
  </conditionalFormatting>
  <conditionalFormatting sqref="AH578">
    <cfRule type="endsWith" dxfId="3647" priority="4338" operator="endsWith" text="x">
      <formula>RIGHT(AH578,LEN("x"))="x"</formula>
    </cfRule>
  </conditionalFormatting>
  <conditionalFormatting sqref="AB580">
    <cfRule type="endsWith" dxfId="3646" priority="4337" operator="endsWith" text="x">
      <formula>RIGHT(AB580,LEN("x"))="x"</formula>
    </cfRule>
  </conditionalFormatting>
  <conditionalFormatting sqref="AC580 AE580 AH580">
    <cfRule type="endsWith" dxfId="3645" priority="4336" operator="endsWith" text="x">
      <formula>RIGHT(AC580,LEN("x"))="x"</formula>
    </cfRule>
  </conditionalFormatting>
  <conditionalFormatting sqref="AD580">
    <cfRule type="endsWith" dxfId="3644" priority="4335" operator="endsWith" text="x">
      <formula>RIGHT(AD580,LEN("x"))="x"</formula>
    </cfRule>
  </conditionalFormatting>
  <conditionalFormatting sqref="AF580">
    <cfRule type="endsWith" dxfId="3643" priority="4334" operator="endsWith" text="x">
      <formula>RIGHT(AF580,LEN("x"))="x"</formula>
    </cfRule>
  </conditionalFormatting>
  <conditionalFormatting sqref="AG580">
    <cfRule type="endsWith" dxfId="3642" priority="4333" operator="endsWith" text="x">
      <formula>RIGHT(AG580,LEN("x"))="x"</formula>
    </cfRule>
  </conditionalFormatting>
  <conditionalFormatting sqref="AB593:AL593 AH594:AL594 AI595:AL595 AB594:AB598 AI597:AL597 AD597:AG597 AD598:AL598 AD595:AG595 AD594:AF594 AD596:AL596">
    <cfRule type="endsWith" dxfId="3641" priority="4332" operator="endsWith" text="x">
      <formula>RIGHT(AB593,LEN("x"))="x"</formula>
    </cfRule>
  </conditionalFormatting>
  <conditionalFormatting sqref="AL597:AL598 AB597:AB598 AI597:AJ597 AD597:AG597 AD598:AJ598">
    <cfRule type="endsWith" dxfId="3640" priority="4331" operator="endsWith" text="x">
      <formula>RIGHT(AB597,LEN("x"))="x"</formula>
    </cfRule>
  </conditionalFormatting>
  <conditionalFormatting sqref="AB593:AE593 AD594:AF594 AG593:AH593 AH594 AB594:AB596 AD595:AG595 AD596:AH596">
    <cfRule type="endsWith" dxfId="3639" priority="4330" operator="endsWith" text="x">
      <formula>RIGHT(AB593,LEN("x"))="x"</formula>
    </cfRule>
  </conditionalFormatting>
  <conditionalFormatting sqref="AI597">
    <cfRule type="endsWith" dxfId="3638" priority="4329" operator="endsWith" text="x">
      <formula>RIGHT(AI597,LEN("x"))="x"</formula>
    </cfRule>
  </conditionalFormatting>
  <conditionalFormatting sqref="AI598">
    <cfRule type="endsWith" dxfId="3637" priority="4328" operator="endsWith" text="x">
      <formula>RIGHT(AI598,LEN("x"))="x"</formula>
    </cfRule>
  </conditionalFormatting>
  <conditionalFormatting sqref="AI598">
    <cfRule type="endsWith" dxfId="3636" priority="4327" operator="endsWith" text="x">
      <formula>RIGHT(AI598,LEN("x"))="x"</formula>
    </cfRule>
  </conditionalFormatting>
  <conditionalFormatting sqref="AI595:AL596">
    <cfRule type="endsWith" dxfId="3635" priority="4326" operator="endsWith" text="x">
      <formula>RIGHT(AI595,LEN("x"))="x"</formula>
    </cfRule>
  </conditionalFormatting>
  <conditionalFormatting sqref="AI594:AK594 AI595:AL596 AI593:AL593">
    <cfRule type="endsWith" dxfId="3634" priority="4325" operator="endsWith" text="x">
      <formula>RIGHT(AI593,LEN("x"))="x"</formula>
    </cfRule>
  </conditionalFormatting>
  <conditionalFormatting sqref="AL594">
    <cfRule type="endsWith" dxfId="3633" priority="4324" operator="endsWith" text="x">
      <formula>RIGHT(AL594,LEN("x"))="x"</formula>
    </cfRule>
  </conditionalFormatting>
  <conditionalFormatting sqref="AI602:AK603 AI604:AL605 AI601:AL601">
    <cfRule type="endsWith" dxfId="3632" priority="4292" operator="endsWith" text="x">
      <formula>RIGHT(AI601,LEN("x"))="x"</formula>
    </cfRule>
  </conditionalFormatting>
  <conditionalFormatting sqref="AJ597">
    <cfRule type="endsWith" dxfId="3631" priority="4323" operator="endsWith" text="x">
      <formula>RIGHT(AJ597,LEN("x"))="x"</formula>
    </cfRule>
  </conditionalFormatting>
  <conditionalFormatting sqref="AJ598">
    <cfRule type="endsWith" dxfId="3630" priority="4322" operator="endsWith" text="x">
      <formula>RIGHT(AJ598,LEN("x"))="x"</formula>
    </cfRule>
  </conditionalFormatting>
  <conditionalFormatting sqref="AJ598">
    <cfRule type="endsWith" dxfId="3629" priority="4321" operator="endsWith" text="x">
      <formula>RIGHT(AJ598,LEN("x"))="x"</formula>
    </cfRule>
  </conditionalFormatting>
  <conditionalFormatting sqref="AF593">
    <cfRule type="endsWith" dxfId="3628" priority="4320" operator="endsWith" text="x">
      <formula>RIGHT(AF593,LEN("x"))="x"</formula>
    </cfRule>
  </conditionalFormatting>
  <conditionalFormatting sqref="AG594">
    <cfRule type="endsWith" dxfId="3627" priority="4319" operator="endsWith" text="x">
      <formula>RIGHT(AG594,LEN("x"))="x"</formula>
    </cfRule>
  </conditionalFormatting>
  <conditionalFormatting sqref="AG594">
    <cfRule type="endsWith" dxfId="3626" priority="4318" operator="endsWith" text="x">
      <formula>RIGHT(AG594,LEN("x"))="x"</formula>
    </cfRule>
  </conditionalFormatting>
  <conditionalFormatting sqref="AK529">
    <cfRule type="endsWith" dxfId="3625" priority="4317" operator="endsWith" text="x">
      <formula>RIGHT(AK529,LEN("x"))="x"</formula>
    </cfRule>
  </conditionalFormatting>
  <conditionalFormatting sqref="AL529">
    <cfRule type="endsWith" dxfId="3624" priority="4316" operator="endsWith" text="x">
      <formula>RIGHT(AL529,LEN("x"))="x"</formula>
    </cfRule>
  </conditionalFormatting>
  <conditionalFormatting sqref="AK535">
    <cfRule type="endsWith" dxfId="3623" priority="4315" operator="endsWith" text="x">
      <formula>RIGHT(AK535,LEN("x"))="x"</formula>
    </cfRule>
  </conditionalFormatting>
  <conditionalFormatting sqref="AL535">
    <cfRule type="endsWith" dxfId="3622" priority="4314" operator="endsWith" text="x">
      <formula>RIGHT(AL535,LEN("x"))="x"</formula>
    </cfRule>
  </conditionalFormatting>
  <conditionalFormatting sqref="AK551">
    <cfRule type="endsWith" dxfId="3621" priority="4313" operator="endsWith" text="x">
      <formula>RIGHT(AK551,LEN("x"))="x"</formula>
    </cfRule>
  </conditionalFormatting>
  <conditionalFormatting sqref="AL551">
    <cfRule type="endsWith" dxfId="3620" priority="4312" operator="endsWith" text="x">
      <formula>RIGHT(AL551,LEN("x"))="x"</formula>
    </cfRule>
  </conditionalFormatting>
  <conditionalFormatting sqref="AK557">
    <cfRule type="endsWith" dxfId="3619" priority="4311" operator="endsWith" text="x">
      <formula>RIGHT(AK557,LEN("x"))="x"</formula>
    </cfRule>
  </conditionalFormatting>
  <conditionalFormatting sqref="AL557">
    <cfRule type="endsWith" dxfId="3618" priority="4310" operator="endsWith" text="x">
      <formula>RIGHT(AL557,LEN("x"))="x"</formula>
    </cfRule>
  </conditionalFormatting>
  <conditionalFormatting sqref="AK563">
    <cfRule type="endsWith" dxfId="3617" priority="4309" operator="endsWith" text="x">
      <formula>RIGHT(AK563,LEN("x"))="x"</formula>
    </cfRule>
  </conditionalFormatting>
  <conditionalFormatting sqref="AL563">
    <cfRule type="endsWith" dxfId="3616" priority="4308" operator="endsWith" text="x">
      <formula>RIGHT(AL563,LEN("x"))="x"</formula>
    </cfRule>
  </conditionalFormatting>
  <conditionalFormatting sqref="AK570">
    <cfRule type="endsWith" dxfId="3615" priority="4307" operator="endsWith" text="x">
      <formula>RIGHT(AK570,LEN("x"))="x"</formula>
    </cfRule>
  </conditionalFormatting>
  <conditionalFormatting sqref="AL570">
    <cfRule type="endsWith" dxfId="3614" priority="4306" operator="endsWith" text="x">
      <formula>RIGHT(AL570,LEN("x"))="x"</formula>
    </cfRule>
  </conditionalFormatting>
  <conditionalFormatting sqref="AK576">
    <cfRule type="endsWith" dxfId="3613" priority="4305" operator="endsWith" text="x">
      <formula>RIGHT(AK576,LEN("x"))="x"</formula>
    </cfRule>
  </conditionalFormatting>
  <conditionalFormatting sqref="AL576">
    <cfRule type="endsWith" dxfId="3612" priority="4304" operator="endsWith" text="x">
      <formula>RIGHT(AL576,LEN("x"))="x"</formula>
    </cfRule>
  </conditionalFormatting>
  <conditionalFormatting sqref="AI580">
    <cfRule type="endsWith" dxfId="3611" priority="4261" operator="endsWith" text="x">
      <formula>RIGHT(AI580,LEN("x"))="x"</formula>
    </cfRule>
  </conditionalFormatting>
  <conditionalFormatting sqref="AH595">
    <cfRule type="endsWith" dxfId="3610" priority="4303" operator="endsWith" text="x">
      <formula>RIGHT(AH595,LEN("x"))="x"</formula>
    </cfRule>
  </conditionalFormatting>
  <conditionalFormatting sqref="AH595">
    <cfRule type="endsWith" dxfId="3609" priority="4302" operator="endsWith" text="x">
      <formula>RIGHT(AH595,LEN("x"))="x"</formula>
    </cfRule>
  </conditionalFormatting>
  <conditionalFormatting sqref="AH597">
    <cfRule type="endsWith" dxfId="3608" priority="4301" operator="endsWith" text="x">
      <formula>RIGHT(AH597,LEN("x"))="x"</formula>
    </cfRule>
  </conditionalFormatting>
  <conditionalFormatting sqref="AH597">
    <cfRule type="endsWith" dxfId="3607" priority="4300" operator="endsWith" text="x">
      <formula>RIGHT(AH597,LEN("x"))="x"</formula>
    </cfRule>
  </conditionalFormatting>
  <conditionalFormatting sqref="AB601:AL601 AH602:AL603 AI604:AL604 AB602:AB607 AI606:AL606 AD606:AG606 AD607:AL607 AD604:AG604 AD602:AF603 AD605:AL605">
    <cfRule type="endsWith" dxfId="3606" priority="4299" operator="endsWith" text="x">
      <formula>RIGHT(AB601,LEN("x"))="x"</formula>
    </cfRule>
  </conditionalFormatting>
  <conditionalFormatting sqref="AL606:AL607 AB606:AB607 AI606:AJ606 AD606:AG606 AD607:AJ607">
    <cfRule type="endsWith" dxfId="3605" priority="4298" operator="endsWith" text="x">
      <formula>RIGHT(AB606,LEN("x"))="x"</formula>
    </cfRule>
  </conditionalFormatting>
  <conditionalFormatting sqref="AB601:AE601 AD602:AF603 AG601:AH601 AH602:AH603 AB602:AB605 AD604:AG604 AD605:AH605">
    <cfRule type="endsWith" dxfId="3604" priority="4297" operator="endsWith" text="x">
      <formula>RIGHT(AB601,LEN("x"))="x"</formula>
    </cfRule>
  </conditionalFormatting>
  <conditionalFormatting sqref="AI606">
    <cfRule type="endsWith" dxfId="3603" priority="4296" operator="endsWith" text="x">
      <formula>RIGHT(AI606,LEN("x"))="x"</formula>
    </cfRule>
  </conditionalFormatting>
  <conditionalFormatting sqref="AI607">
    <cfRule type="endsWith" dxfId="3602" priority="4295" operator="endsWith" text="x">
      <formula>RIGHT(AI607,LEN("x"))="x"</formula>
    </cfRule>
  </conditionalFormatting>
  <conditionalFormatting sqref="AI607">
    <cfRule type="endsWith" dxfId="3601" priority="4294" operator="endsWith" text="x">
      <formula>RIGHT(AI607,LEN("x"))="x"</formula>
    </cfRule>
  </conditionalFormatting>
  <conditionalFormatting sqref="AI604:AL605">
    <cfRule type="endsWith" dxfId="3600" priority="4293" operator="endsWith" text="x">
      <formula>RIGHT(AI604,LEN("x"))="x"</formula>
    </cfRule>
  </conditionalFormatting>
  <conditionalFormatting sqref="AL602:AL603">
    <cfRule type="endsWith" dxfId="3599" priority="4291" operator="endsWith" text="x">
      <formula>RIGHT(AL602,LEN("x"))="x"</formula>
    </cfRule>
  </conditionalFormatting>
  <conditionalFormatting sqref="AG602:AG603">
    <cfRule type="endsWith" dxfId="3598" priority="4281" operator="endsWith" text="x">
      <formula>RIGHT(AG602,LEN("x"))="x"</formula>
    </cfRule>
  </conditionalFormatting>
  <conditionalFormatting sqref="AJ606">
    <cfRule type="endsWith" dxfId="3597" priority="4290" operator="endsWith" text="x">
      <formula>RIGHT(AJ606,LEN("x"))="x"</formula>
    </cfRule>
  </conditionalFormatting>
  <conditionalFormatting sqref="AJ607">
    <cfRule type="endsWith" dxfId="3596" priority="4289" operator="endsWith" text="x">
      <formula>RIGHT(AJ607,LEN("x"))="x"</formula>
    </cfRule>
  </conditionalFormatting>
  <conditionalFormatting sqref="AJ607">
    <cfRule type="endsWith" dxfId="3595" priority="4288" operator="endsWith" text="x">
      <formula>RIGHT(AJ607,LEN("x"))="x"</formula>
    </cfRule>
  </conditionalFormatting>
  <conditionalFormatting sqref="AF601">
    <cfRule type="endsWith" dxfId="3594" priority="4287" operator="endsWith" text="x">
      <formula>RIGHT(AF601,LEN("x"))="x"</formula>
    </cfRule>
  </conditionalFormatting>
  <conditionalFormatting sqref="AG611">
    <cfRule type="endsWith" dxfId="3593" priority="4263" operator="endsWith" text="x">
      <formula>RIGHT(AG611,LEN("x"))="x"</formula>
    </cfRule>
  </conditionalFormatting>
  <conditionalFormatting sqref="AG611">
    <cfRule type="endsWith" dxfId="3592" priority="4262" operator="endsWith" text="x">
      <formula>RIGHT(AG611,LEN("x"))="x"</formula>
    </cfRule>
  </conditionalFormatting>
  <conditionalFormatting sqref="AH604">
    <cfRule type="endsWith" dxfId="3591" priority="4286" operator="endsWith" text="x">
      <formula>RIGHT(AH604,LEN("x"))="x"</formula>
    </cfRule>
  </conditionalFormatting>
  <conditionalFormatting sqref="AH604">
    <cfRule type="endsWith" dxfId="3590" priority="4285" operator="endsWith" text="x">
      <formula>RIGHT(AH604,LEN("x"))="x"</formula>
    </cfRule>
  </conditionalFormatting>
  <conditionalFormatting sqref="AH606">
    <cfRule type="endsWith" dxfId="3589" priority="4284" operator="endsWith" text="x">
      <formula>RIGHT(AH606,LEN("x"))="x"</formula>
    </cfRule>
  </conditionalFormatting>
  <conditionalFormatting sqref="AH606">
    <cfRule type="endsWith" dxfId="3588" priority="4283" operator="endsWith" text="x">
      <formula>RIGHT(AH606,LEN("x"))="x"</formula>
    </cfRule>
  </conditionalFormatting>
  <conditionalFormatting sqref="AG602:AG603">
    <cfRule type="endsWith" dxfId="3587" priority="4282" operator="endsWith" text="x">
      <formula>RIGHT(AG602,LEN("x"))="x"</formula>
    </cfRule>
  </conditionalFormatting>
  <conditionalFormatting sqref="AJ615">
    <cfRule type="endsWith" dxfId="3586" priority="4270" operator="endsWith" text="x">
      <formula>RIGHT(AJ615,LEN("x"))="x"</formula>
    </cfRule>
  </conditionalFormatting>
  <conditionalFormatting sqref="AH622">
    <cfRule type="endsWith" dxfId="3585" priority="4248" operator="endsWith" text="x">
      <formula>RIGHT(AH622,LEN("x"))="x"</formula>
    </cfRule>
  </conditionalFormatting>
  <conditionalFormatting sqref="AJ623">
    <cfRule type="endsWith" dxfId="3584" priority="4250" operator="endsWith" text="x">
      <formula>RIGHT(AJ623,LEN("x"))="x"</formula>
    </cfRule>
  </conditionalFormatting>
  <conditionalFormatting sqref="AF618">
    <cfRule type="endsWith" dxfId="3583" priority="4249" operator="endsWith" text="x">
      <formula>RIGHT(AF618,LEN("x"))="x"</formula>
    </cfRule>
  </conditionalFormatting>
  <conditionalFormatting sqref="AH619">
    <cfRule type="endsWith" dxfId="3582" priority="4243" operator="endsWith" text="x">
      <formula>RIGHT(AH619,LEN("x"))="x"</formula>
    </cfRule>
  </conditionalFormatting>
  <conditionalFormatting sqref="AH619">
    <cfRule type="endsWith" dxfId="3581" priority="4244" operator="endsWith" text="x">
      <formula>RIGHT(AH619,LEN("x"))="x"</formula>
    </cfRule>
  </conditionalFormatting>
  <conditionalFormatting sqref="AB610:AL610 AH611:AL611 AI612:AL612 AB611:AB615 AI614:AL614 AD614:AG614 AD615:AL615 AD612:AG612 AD611:AF611 AD613:AL613">
    <cfRule type="endsWith" dxfId="3580" priority="4280" operator="endsWith" text="x">
      <formula>RIGHT(AB610,LEN("x"))="x"</formula>
    </cfRule>
  </conditionalFormatting>
  <conditionalFormatting sqref="AL614:AL615 AB614:AB615 AI614:AJ614 AD614:AG614 AD615:AJ615">
    <cfRule type="endsWith" dxfId="3579" priority="4279" operator="endsWith" text="x">
      <formula>RIGHT(AB614,LEN("x"))="x"</formula>
    </cfRule>
  </conditionalFormatting>
  <conditionalFormatting sqref="AB610:AE610 AD611:AF611 AG610:AH610 AH611 AB611:AB613 AD612:AG612 AD613:AH613">
    <cfRule type="endsWith" dxfId="3578" priority="4278" operator="endsWith" text="x">
      <formula>RIGHT(AB610,LEN("x"))="x"</formula>
    </cfRule>
  </conditionalFormatting>
  <conditionalFormatting sqref="AI614">
    <cfRule type="endsWith" dxfId="3577" priority="4277" operator="endsWith" text="x">
      <formula>RIGHT(AI614,LEN("x"))="x"</formula>
    </cfRule>
  </conditionalFormatting>
  <conditionalFormatting sqref="AI615">
    <cfRule type="endsWith" dxfId="3576" priority="4276" operator="endsWith" text="x">
      <formula>RIGHT(AI615,LEN("x"))="x"</formula>
    </cfRule>
  </conditionalFormatting>
  <conditionalFormatting sqref="AI615">
    <cfRule type="endsWith" dxfId="3575" priority="4275" operator="endsWith" text="x">
      <formula>RIGHT(AI615,LEN("x"))="x"</formula>
    </cfRule>
  </conditionalFormatting>
  <conditionalFormatting sqref="AI612:AL613">
    <cfRule type="endsWith" dxfId="3574" priority="4274" operator="endsWith" text="x">
      <formula>RIGHT(AI612,LEN("x"))="x"</formula>
    </cfRule>
  </conditionalFormatting>
  <conditionalFormatting sqref="AI611:AK611 AI612:AL613 AI610:AL610">
    <cfRule type="endsWith" dxfId="3573" priority="4273" operator="endsWith" text="x">
      <formula>RIGHT(AI610,LEN("x"))="x"</formula>
    </cfRule>
  </conditionalFormatting>
  <conditionalFormatting sqref="AL611">
    <cfRule type="endsWith" dxfId="3572" priority="4272" operator="endsWith" text="x">
      <formula>RIGHT(AL611,LEN("x"))="x"</formula>
    </cfRule>
  </conditionalFormatting>
  <conditionalFormatting sqref="AJ614">
    <cfRule type="endsWith" dxfId="3571" priority="4271" operator="endsWith" text="x">
      <formula>RIGHT(AJ614,LEN("x"))="x"</formula>
    </cfRule>
  </conditionalFormatting>
  <conditionalFormatting sqref="AH622">
    <cfRule type="endsWith" dxfId="3570" priority="4247" operator="endsWith" text="x">
      <formula>RIGHT(AH622,LEN("x"))="x"</formula>
    </cfRule>
  </conditionalFormatting>
  <conditionalFormatting sqref="AJ615">
    <cfRule type="endsWith" dxfId="3569" priority="4269" operator="endsWith" text="x">
      <formula>RIGHT(AJ615,LEN("x"))="x"</formula>
    </cfRule>
  </conditionalFormatting>
  <conditionalFormatting sqref="AF610">
    <cfRule type="endsWith" dxfId="3568" priority="4268" operator="endsWith" text="x">
      <formula>RIGHT(AF610,LEN("x"))="x"</formula>
    </cfRule>
  </conditionalFormatting>
  <conditionalFormatting sqref="AH612">
    <cfRule type="endsWith" dxfId="3567" priority="4267" operator="endsWith" text="x">
      <formula>RIGHT(AH612,LEN("x"))="x"</formula>
    </cfRule>
  </conditionalFormatting>
  <conditionalFormatting sqref="AH612">
    <cfRule type="endsWith" dxfId="3566" priority="4266" operator="endsWith" text="x">
      <formula>RIGHT(AH612,LEN("x"))="x"</formula>
    </cfRule>
  </conditionalFormatting>
  <conditionalFormatting sqref="AH614">
    <cfRule type="endsWith" dxfId="3565" priority="4265" operator="endsWith" text="x">
      <formula>RIGHT(AH614,LEN("x"))="x"</formula>
    </cfRule>
  </conditionalFormatting>
  <conditionalFormatting sqref="AH614">
    <cfRule type="endsWith" dxfId="3564" priority="4264" operator="endsWith" text="x">
      <formula>RIGHT(AH614,LEN("x"))="x"</formula>
    </cfRule>
  </conditionalFormatting>
  <conditionalFormatting sqref="AB618:AL618 AB619:AB623 AI622:AL622 AD622:AG622 AD623:AL623 AD620:AG620 AD619:AF619">
    <cfRule type="endsWith" dxfId="3563" priority="4260" operator="endsWith" text="x">
      <formula>RIGHT(AB618,LEN("x"))="x"</formula>
    </cfRule>
  </conditionalFormatting>
  <conditionalFormatting sqref="AG619">
    <cfRule type="endsWith" dxfId="3562" priority="4246" operator="endsWith" text="x">
      <formula>RIGHT(AG619,LEN("x"))="x"</formula>
    </cfRule>
  </conditionalFormatting>
  <conditionalFormatting sqref="AG619">
    <cfRule type="endsWith" dxfId="3561" priority="4245" operator="endsWith" text="x">
      <formula>RIGHT(AG619,LEN("x"))="x"</formula>
    </cfRule>
  </conditionalFormatting>
  <conditionalFormatting sqref="AJ623">
    <cfRule type="endsWith" dxfId="3560" priority="4251" operator="endsWith" text="x">
      <formula>RIGHT(AJ623,LEN("x"))="x"</formula>
    </cfRule>
  </conditionalFormatting>
  <conditionalFormatting sqref="AJ645:AK645">
    <cfRule type="endsWith" dxfId="3559" priority="4241" operator="endsWith" text="x">
      <formula>RIGHT(AJ645,LEN("x"))="x"</formula>
    </cfRule>
  </conditionalFormatting>
  <conditionalFormatting sqref="AJ645:AK645">
    <cfRule type="endsWith" dxfId="3558" priority="4242" operator="endsWith" text="x">
      <formula>RIGHT(AJ645,LEN("x"))="x"</formula>
    </cfRule>
  </conditionalFormatting>
  <conditionalFormatting sqref="AL622:AL623 AB622:AB623 AI622:AJ622 AD622:AG622 AD623:AJ623">
    <cfRule type="endsWith" dxfId="3557" priority="4259" operator="endsWith" text="x">
      <formula>RIGHT(AB622,LEN("x"))="x"</formula>
    </cfRule>
  </conditionalFormatting>
  <conditionalFormatting sqref="AB618:AE618 AD619:AF619 AG618:AH618 AB619:AB621 AD620:AG620 AD621:AH621">
    <cfRule type="endsWith" dxfId="3556" priority="4258" operator="endsWith" text="x">
      <formula>RIGHT(AB618,LEN("x"))="x"</formula>
    </cfRule>
  </conditionalFormatting>
  <conditionalFormatting sqref="AI622">
    <cfRule type="endsWith" dxfId="3555" priority="4257" operator="endsWith" text="x">
      <formula>RIGHT(AI622,LEN("x"))="x"</formula>
    </cfRule>
  </conditionalFormatting>
  <conditionalFormatting sqref="AI623">
    <cfRule type="endsWith" dxfId="3554" priority="4256" operator="endsWith" text="x">
      <formula>RIGHT(AI623,LEN("x"))="x"</formula>
    </cfRule>
  </conditionalFormatting>
  <conditionalFormatting sqref="AI623">
    <cfRule type="endsWith" dxfId="3553" priority="4255" operator="endsWith" text="x">
      <formula>RIGHT(AI623,LEN("x"))="x"</formula>
    </cfRule>
  </conditionalFormatting>
  <conditionalFormatting sqref="AI619:AK619 AI618:AL618">
    <cfRule type="endsWith" dxfId="3552" priority="4254" operator="endsWith" text="x">
      <formula>RIGHT(AI618,LEN("x"))="x"</formula>
    </cfRule>
  </conditionalFormatting>
  <conditionalFormatting sqref="AL619">
    <cfRule type="endsWith" dxfId="3551" priority="4253" operator="endsWith" text="x">
      <formula>RIGHT(AL619,LEN("x"))="x"</formula>
    </cfRule>
  </conditionalFormatting>
  <conditionalFormatting sqref="AJ622">
    <cfRule type="endsWith" dxfId="3550" priority="4252" operator="endsWith" text="x">
      <formula>RIGHT(AJ622,LEN("x"))="x"</formula>
    </cfRule>
  </conditionalFormatting>
  <conditionalFormatting sqref="AB680:AL680 AB682:AL691 AB681 AD681:AL681">
    <cfRule type="endsWith" dxfId="3549" priority="4240" operator="endsWith" text="x">
      <formula>RIGHT(AB680,LEN("x"))="x"</formula>
    </cfRule>
  </conditionalFormatting>
  <conditionalFormatting sqref="AI684">
    <cfRule type="endsWith" dxfId="3548" priority="4239" operator="endsWith" text="x">
      <formula>RIGHT(AI684,LEN("x"))="x"</formula>
    </cfRule>
  </conditionalFormatting>
  <conditionalFormatting sqref="AI685">
    <cfRule type="endsWith" dxfId="3547" priority="4238" operator="endsWith" text="x">
      <formula>RIGHT(AI685,LEN("x"))="x"</formula>
    </cfRule>
  </conditionalFormatting>
  <conditionalFormatting sqref="AI685">
    <cfRule type="endsWith" dxfId="3546" priority="4237" operator="endsWith" text="x">
      <formula>RIGHT(AI685,LEN("x"))="x"</formula>
    </cfRule>
  </conditionalFormatting>
  <conditionalFormatting sqref="AI682:AL683">
    <cfRule type="endsWith" dxfId="3545" priority="4236" operator="endsWith" text="x">
      <formula>RIGHT(AI682,LEN("x"))="x"</formula>
    </cfRule>
  </conditionalFormatting>
  <conditionalFormatting sqref="AI681:AK681 AI682:AL683 AI680:AL680">
    <cfRule type="endsWith" dxfId="3544" priority="4235" operator="endsWith" text="x">
      <formula>RIGHT(AI680,LEN("x"))="x"</formula>
    </cfRule>
  </conditionalFormatting>
  <conditionalFormatting sqref="AL681">
    <cfRule type="endsWith" dxfId="3543" priority="4234" operator="endsWith" text="x">
      <formula>RIGHT(AL681,LEN("x"))="x"</formula>
    </cfRule>
  </conditionalFormatting>
  <conditionalFormatting sqref="AC721">
    <cfRule type="endsWith" dxfId="3542" priority="4191" operator="endsWith" text="x">
      <formula>RIGHT(AC721,LEN("x"))="x"</formula>
    </cfRule>
  </conditionalFormatting>
  <conditionalFormatting sqref="AF680">
    <cfRule type="endsWith" dxfId="3541" priority="4233" operator="endsWith" text="x">
      <formula>RIGHT(AF680,LEN("x"))="x"</formula>
    </cfRule>
  </conditionalFormatting>
  <conditionalFormatting sqref="AJ685:AK685">
    <cfRule type="endsWith" dxfId="3540" priority="4232" operator="endsWith" text="x">
      <formula>RIGHT(AJ685,LEN("x"))="x"</formula>
    </cfRule>
  </conditionalFormatting>
  <conditionalFormatting sqref="AJ685:AK685">
    <cfRule type="endsWith" dxfId="3539" priority="4231" operator="endsWith" text="x">
      <formula>RIGHT(AJ685,LEN("x"))="x"</formula>
    </cfRule>
  </conditionalFormatting>
  <conditionalFormatting sqref="AE721">
    <cfRule type="endsWith" dxfId="3538" priority="4189" operator="endsWith" text="x">
      <formula>RIGHT(AE721,LEN("x"))="x"</formula>
    </cfRule>
  </conditionalFormatting>
  <conditionalFormatting sqref="AD721">
    <cfRule type="endsWith" dxfId="3537" priority="4188" operator="endsWith" text="x">
      <formula>RIGHT(AD721,LEN("x"))="x"</formula>
    </cfRule>
  </conditionalFormatting>
  <conditionalFormatting sqref="AC681">
    <cfRule type="endsWith" dxfId="3536" priority="4230" operator="endsWith" text="x">
      <formula>RIGHT(AC681,LEN("x"))="x"</formula>
    </cfRule>
  </conditionalFormatting>
  <conditionalFormatting sqref="AC681">
    <cfRule type="endsWith" dxfId="3535" priority="4229" operator="endsWith" text="x">
      <formula>RIGHT(AC681,LEN("x"))="x"</formula>
    </cfRule>
  </conditionalFormatting>
  <conditionalFormatting sqref="AB627:AL627 AB629:AL637 AB628 AD628 AF628:AL628">
    <cfRule type="endsWith" dxfId="3534" priority="4228" operator="endsWith" text="x">
      <formula>RIGHT(AB627,LEN("x"))="x"</formula>
    </cfRule>
  </conditionalFormatting>
  <conditionalFormatting sqref="AI631">
    <cfRule type="endsWith" dxfId="3533" priority="4227" operator="endsWith" text="x">
      <formula>RIGHT(AI631,LEN("x"))="x"</formula>
    </cfRule>
  </conditionalFormatting>
  <conditionalFormatting sqref="AI632">
    <cfRule type="endsWith" dxfId="3532" priority="4226" operator="endsWith" text="x">
      <formula>RIGHT(AI632,LEN("x"))="x"</formula>
    </cfRule>
  </conditionalFormatting>
  <conditionalFormatting sqref="AI632">
    <cfRule type="endsWith" dxfId="3531" priority="4225" operator="endsWith" text="x">
      <formula>RIGHT(AI632,LEN("x"))="x"</formula>
    </cfRule>
  </conditionalFormatting>
  <conditionalFormatting sqref="AI629:AL630">
    <cfRule type="endsWith" dxfId="3530" priority="4224" operator="endsWith" text="x">
      <formula>RIGHT(AI629,LEN("x"))="x"</formula>
    </cfRule>
  </conditionalFormatting>
  <conditionalFormatting sqref="AI628:AK628 AI629:AL630 AI627:AL627">
    <cfRule type="endsWith" dxfId="3529" priority="4223" operator="endsWith" text="x">
      <formula>RIGHT(AI627,LEN("x"))="x"</formula>
    </cfRule>
  </conditionalFormatting>
  <conditionalFormatting sqref="AL628">
    <cfRule type="endsWith" dxfId="3528" priority="4222" operator="endsWith" text="x">
      <formula>RIGHT(AL628,LEN("x"))="x"</formula>
    </cfRule>
  </conditionalFormatting>
  <conditionalFormatting sqref="AF627">
    <cfRule type="endsWith" dxfId="3527" priority="4221" operator="endsWith" text="x">
      <formula>RIGHT(AF627,LEN("x"))="x"</formula>
    </cfRule>
  </conditionalFormatting>
  <conditionalFormatting sqref="AJ632:AK632">
    <cfRule type="endsWith" dxfId="3526" priority="4220" operator="endsWith" text="x">
      <formula>RIGHT(AJ632,LEN("x"))="x"</formula>
    </cfRule>
  </conditionalFormatting>
  <conditionalFormatting sqref="AJ632:AK632">
    <cfRule type="endsWith" dxfId="3525" priority="4219" operator="endsWith" text="x">
      <formula>RIGHT(AJ632,LEN("x"))="x"</formula>
    </cfRule>
  </conditionalFormatting>
  <conditionalFormatting sqref="AC628">
    <cfRule type="endsWith" dxfId="3524" priority="4218" operator="endsWith" text="x">
      <formula>RIGHT(AC628,LEN("x"))="x"</formula>
    </cfRule>
  </conditionalFormatting>
  <conditionalFormatting sqref="AC628">
    <cfRule type="endsWith" dxfId="3523" priority="4217" operator="endsWith" text="x">
      <formula>RIGHT(AC628,LEN("x"))="x"</formula>
    </cfRule>
  </conditionalFormatting>
  <conditionalFormatting sqref="AE628">
    <cfRule type="endsWith" dxfId="3522" priority="4216" operator="endsWith" text="x">
      <formula>RIGHT(AE628,LEN("x"))="x"</formula>
    </cfRule>
  </conditionalFormatting>
  <conditionalFormatting sqref="AB707:AL707 AB709:AL717 AB708 AF708:AL708">
    <cfRule type="endsWith" dxfId="3521" priority="4215" operator="endsWith" text="x">
      <formula>RIGHT(AB707,LEN("x"))="x"</formula>
    </cfRule>
  </conditionalFormatting>
  <conditionalFormatting sqref="AI711">
    <cfRule type="endsWith" dxfId="3520" priority="4214" operator="endsWith" text="x">
      <formula>RIGHT(AI711,LEN("x"))="x"</formula>
    </cfRule>
  </conditionalFormatting>
  <conditionalFormatting sqref="AI712">
    <cfRule type="endsWith" dxfId="3519" priority="4213" operator="endsWith" text="x">
      <formula>RIGHT(AI712,LEN("x"))="x"</formula>
    </cfRule>
  </conditionalFormatting>
  <conditionalFormatting sqref="AI712">
    <cfRule type="endsWith" dxfId="3518" priority="4212" operator="endsWith" text="x">
      <formula>RIGHT(AI712,LEN("x"))="x"</formula>
    </cfRule>
  </conditionalFormatting>
  <conditionalFormatting sqref="AI709:AL710">
    <cfRule type="endsWith" dxfId="3517" priority="4211" operator="endsWith" text="x">
      <formula>RIGHT(AI709,LEN("x"))="x"</formula>
    </cfRule>
  </conditionalFormatting>
  <conditionalFormatting sqref="AI708:AK708 AI709:AL710 AI707:AL707">
    <cfRule type="endsWith" dxfId="3516" priority="4210" operator="endsWith" text="x">
      <formula>RIGHT(AI707,LEN("x"))="x"</formula>
    </cfRule>
  </conditionalFormatting>
  <conditionalFormatting sqref="AL708">
    <cfRule type="endsWith" dxfId="3515" priority="4209" operator="endsWith" text="x">
      <formula>RIGHT(AL708,LEN("x"))="x"</formula>
    </cfRule>
  </conditionalFormatting>
  <conditionalFormatting sqref="AF707">
    <cfRule type="endsWith" dxfId="3514" priority="4208" operator="endsWith" text="x">
      <formula>RIGHT(AF707,LEN("x"))="x"</formula>
    </cfRule>
  </conditionalFormatting>
  <conditionalFormatting sqref="AJ712:AK712">
    <cfRule type="endsWith" dxfId="3513" priority="4207" operator="endsWith" text="x">
      <formula>RIGHT(AJ712,LEN("x"))="x"</formula>
    </cfRule>
  </conditionalFormatting>
  <conditionalFormatting sqref="AJ712:AK712">
    <cfRule type="endsWith" dxfId="3512" priority="4206" operator="endsWith" text="x">
      <formula>RIGHT(AJ712,LEN("x"))="x"</formula>
    </cfRule>
  </conditionalFormatting>
  <conditionalFormatting sqref="AC708">
    <cfRule type="endsWith" dxfId="3511" priority="4205" operator="endsWith" text="x">
      <formula>RIGHT(AC708,LEN("x"))="x"</formula>
    </cfRule>
  </conditionalFormatting>
  <conditionalFormatting sqref="AC708">
    <cfRule type="endsWith" dxfId="3510" priority="4204" operator="endsWith" text="x">
      <formula>RIGHT(AC708,LEN("x"))="x"</formula>
    </cfRule>
  </conditionalFormatting>
  <conditionalFormatting sqref="AE708">
    <cfRule type="endsWith" dxfId="3509" priority="4203" operator="endsWith" text="x">
      <formula>RIGHT(AE708,LEN("x"))="x"</formula>
    </cfRule>
  </conditionalFormatting>
  <conditionalFormatting sqref="AD708">
    <cfRule type="endsWith" dxfId="3508" priority="4202" operator="endsWith" text="x">
      <formula>RIGHT(AD708,LEN("x"))="x"</formula>
    </cfRule>
  </conditionalFormatting>
  <conditionalFormatting sqref="AI725">
    <cfRule type="endsWith" dxfId="3507" priority="4198" operator="endsWith" text="x">
      <formula>RIGHT(AI725,LEN("x"))="x"</formula>
    </cfRule>
  </conditionalFormatting>
  <conditionalFormatting sqref="AI722:AL723">
    <cfRule type="endsWith" dxfId="3506" priority="4197" operator="endsWith" text="x">
      <formula>RIGHT(AI722,LEN("x"))="x"</formula>
    </cfRule>
  </conditionalFormatting>
  <conditionalFormatting sqref="AI721:AK721 AI722:AL723 AI720:AL720">
    <cfRule type="endsWith" dxfId="3505" priority="4196" operator="endsWith" text="x">
      <formula>RIGHT(AI720,LEN("x"))="x"</formula>
    </cfRule>
  </conditionalFormatting>
  <conditionalFormatting sqref="AL721">
    <cfRule type="endsWith" dxfId="3504" priority="4195" operator="endsWith" text="x">
      <formula>RIGHT(AL721,LEN("x"))="x"</formula>
    </cfRule>
  </conditionalFormatting>
  <conditionalFormatting sqref="AF720">
    <cfRule type="endsWith" dxfId="3503" priority="4194" operator="endsWith" text="x">
      <formula>RIGHT(AF720,LEN("x"))="x"</formula>
    </cfRule>
  </conditionalFormatting>
  <conditionalFormatting sqref="AJ725:AK725">
    <cfRule type="endsWith" dxfId="3502" priority="4193" operator="endsWith" text="x">
      <formula>RIGHT(AJ725,LEN("x"))="x"</formula>
    </cfRule>
  </conditionalFormatting>
  <conditionalFormatting sqref="AC721">
    <cfRule type="endsWith" dxfId="3501" priority="4190" operator="endsWith" text="x">
      <formula>RIGHT(AC721,LEN("x"))="x"</formula>
    </cfRule>
  </conditionalFormatting>
  <conditionalFormatting sqref="AB720:AL720 AB722:AL730 AB721 AF721:AL721">
    <cfRule type="endsWith" dxfId="3500" priority="4201" operator="endsWith" text="x">
      <formula>RIGHT(AB720,LEN("x"))="x"</formula>
    </cfRule>
  </conditionalFormatting>
  <conditionalFormatting sqref="AI724">
    <cfRule type="endsWith" dxfId="3499" priority="4200" operator="endsWith" text="x">
      <formula>RIGHT(AI724,LEN("x"))="x"</formula>
    </cfRule>
  </conditionalFormatting>
  <conditionalFormatting sqref="AI725">
    <cfRule type="endsWith" dxfId="3498" priority="4199" operator="endsWith" text="x">
      <formula>RIGHT(AI725,LEN("x"))="x"</formula>
    </cfRule>
  </conditionalFormatting>
  <conditionalFormatting sqref="AJ725:AK725">
    <cfRule type="endsWith" dxfId="3497" priority="4192" operator="endsWith" text="x">
      <formula>RIGHT(AJ725,LEN("x"))="x"</formula>
    </cfRule>
  </conditionalFormatting>
  <conditionalFormatting sqref="AB694:AL704">
    <cfRule type="endsWith" dxfId="3496" priority="4187" operator="endsWith" text="x">
      <formula>RIGHT(AB694,LEN("x"))="x"</formula>
    </cfRule>
  </conditionalFormatting>
  <conditionalFormatting sqref="AI695:AK695 AI696:AL697 AI694:AL694">
    <cfRule type="endsWith" dxfId="3495" priority="4180" operator="endsWith" text="x">
      <formula>RIGHT(AI694,LEN("x"))="x"</formula>
    </cfRule>
  </conditionalFormatting>
  <conditionalFormatting sqref="AB700:AL704 AL698:AL699 AB698:AJ699">
    <cfRule type="endsWith" dxfId="3494" priority="4186" operator="endsWith" text="x">
      <formula>RIGHT(AB698,LEN("x"))="x"</formula>
    </cfRule>
  </conditionalFormatting>
  <conditionalFormatting sqref="AB694:AE694 AB696:AH697 AB695 AD695:AH695 AG694:AH694">
    <cfRule type="endsWith" dxfId="3493" priority="4185" operator="endsWith" text="x">
      <formula>RIGHT(AB694,LEN("x"))="x"</formula>
    </cfRule>
  </conditionalFormatting>
  <conditionalFormatting sqref="AI698">
    <cfRule type="endsWith" dxfId="3492" priority="4184" operator="endsWith" text="x">
      <formula>RIGHT(AI698,LEN("x"))="x"</formula>
    </cfRule>
  </conditionalFormatting>
  <conditionalFormatting sqref="AI699">
    <cfRule type="endsWith" dxfId="3491" priority="4183" operator="endsWith" text="x">
      <formula>RIGHT(AI699,LEN("x"))="x"</formula>
    </cfRule>
  </conditionalFormatting>
  <conditionalFormatting sqref="AI699">
    <cfRule type="endsWith" dxfId="3490" priority="4182" operator="endsWith" text="x">
      <formula>RIGHT(AI699,LEN("x"))="x"</formula>
    </cfRule>
  </conditionalFormatting>
  <conditionalFormatting sqref="AI696:AL697">
    <cfRule type="endsWith" dxfId="3489" priority="4181" operator="endsWith" text="x">
      <formula>RIGHT(AI696,LEN("x"))="x"</formula>
    </cfRule>
  </conditionalFormatting>
  <conditionalFormatting sqref="AL695">
    <cfRule type="endsWith" dxfId="3488" priority="4179" operator="endsWith" text="x">
      <formula>RIGHT(AL695,LEN("x"))="x"</formula>
    </cfRule>
  </conditionalFormatting>
  <conditionalFormatting sqref="AC695">
    <cfRule type="endsWith" dxfId="3487" priority="4178" operator="endsWith" text="x">
      <formula>RIGHT(AC695,LEN("x"))="x"</formula>
    </cfRule>
  </conditionalFormatting>
  <conditionalFormatting sqref="AJ698">
    <cfRule type="endsWith" dxfId="3486" priority="4177" operator="endsWith" text="x">
      <formula>RIGHT(AJ698,LEN("x"))="x"</formula>
    </cfRule>
  </conditionalFormatting>
  <conditionalFormatting sqref="AJ699">
    <cfRule type="endsWith" dxfId="3485" priority="4176" operator="endsWith" text="x">
      <formula>RIGHT(AJ699,LEN("x"))="x"</formula>
    </cfRule>
  </conditionalFormatting>
  <conditionalFormatting sqref="AJ699">
    <cfRule type="endsWith" dxfId="3484" priority="4175" operator="endsWith" text="x">
      <formula>RIGHT(AJ699,LEN("x"))="x"</formula>
    </cfRule>
  </conditionalFormatting>
  <conditionalFormatting sqref="AF694">
    <cfRule type="endsWith" dxfId="3483" priority="4174" operator="endsWith" text="x">
      <formula>RIGHT(AF694,LEN("x"))="x"</formula>
    </cfRule>
  </conditionalFormatting>
  <conditionalFormatting sqref="AH745:AK745 AB678:AL678 AC652:AL652 AB731:AL732 AB638:AL651 AB692:AL692">
    <cfRule type="endsWith" dxfId="3482" priority="4173" operator="endsWith" text="x">
      <formula>RIGHT(AB638,LEN("x"))="x"</formula>
    </cfRule>
  </conditionalFormatting>
  <conditionalFormatting sqref="AI639:AL639">
    <cfRule type="endsWith" dxfId="3481" priority="4172" operator="endsWith" text="x">
      <formula>RIGHT(AI639,LEN("x"))="x"</formula>
    </cfRule>
  </conditionalFormatting>
  <conditionalFormatting sqref="AB732:AE732 AG732:AH732">
    <cfRule type="endsWith" dxfId="3480" priority="4171" operator="endsWith" text="x">
      <formula>RIGHT(AB732,LEN("x"))="x"</formula>
    </cfRule>
  </conditionalFormatting>
  <conditionalFormatting sqref="AI732:AL732">
    <cfRule type="endsWith" dxfId="3479" priority="4170" operator="endsWith" text="x">
      <formula>RIGHT(AI732,LEN("x"))="x"</formula>
    </cfRule>
  </conditionalFormatting>
  <conditionalFormatting sqref="AF732">
    <cfRule type="endsWith" dxfId="3478" priority="4169" operator="endsWith" text="x">
      <formula>RIGHT(AF732,LEN("x"))="x"</formula>
    </cfRule>
  </conditionalFormatting>
  <conditionalFormatting sqref="AF639">
    <cfRule type="endsWith" dxfId="3477" priority="4168" operator="endsWith" text="x">
      <formula>RIGHT(AF639,LEN("x"))="x"</formula>
    </cfRule>
  </conditionalFormatting>
  <conditionalFormatting sqref="AF423">
    <cfRule type="endsWith" dxfId="3476" priority="4167" operator="endsWith" text="x">
      <formula>RIGHT(AF423,LEN("x"))="x"</formula>
    </cfRule>
  </conditionalFormatting>
  <conditionalFormatting sqref="AB526:AE527 AG526:AK527">
    <cfRule type="endsWith" dxfId="3475" priority="4166" operator="endsWith" text="x">
      <formula>RIGHT(AB526,LEN("x"))="x"</formula>
    </cfRule>
  </conditionalFormatting>
  <conditionalFormatting sqref="AC527">
    <cfRule type="endsWith" dxfId="3474" priority="4165" operator="endsWith" text="x">
      <formula>RIGHT(AC527,LEN("x"))="x"</formula>
    </cfRule>
  </conditionalFormatting>
  <conditionalFormatting sqref="AL526">
    <cfRule type="endsWith" dxfId="3473" priority="4164" operator="endsWith" text="x">
      <formula>RIGHT(AL526,LEN("x"))="x"</formula>
    </cfRule>
  </conditionalFormatting>
  <conditionalFormatting sqref="AL527">
    <cfRule type="endsWith" dxfId="3472" priority="4163" operator="endsWith" text="x">
      <formula>RIGHT(AL527,LEN("x"))="x"</formula>
    </cfRule>
  </conditionalFormatting>
  <conditionalFormatting sqref="AF526">
    <cfRule type="endsWith" dxfId="3471" priority="4162" operator="endsWith" text="x">
      <formula>RIGHT(AF526,LEN("x"))="x"</formula>
    </cfRule>
  </conditionalFormatting>
  <conditionalFormatting sqref="AF527">
    <cfRule type="endsWith" dxfId="3470" priority="4161" operator="endsWith" text="x">
      <formula>RIGHT(AF527,LEN("x"))="x"</formula>
    </cfRule>
  </conditionalFormatting>
  <conditionalFormatting sqref="AI582:AL583">
    <cfRule type="endsWith" dxfId="3469" priority="4160" operator="endsWith" text="x">
      <formula>RIGHT(AI582,LEN("x"))="x"</formula>
    </cfRule>
  </conditionalFormatting>
  <conditionalFormatting sqref="AC624:AC626">
    <cfRule type="endsWith" dxfId="3468" priority="4148" operator="endsWith" text="x">
      <formula>RIGHT(AC624,LEN("x"))="x"</formula>
    </cfRule>
  </conditionalFormatting>
  <conditionalFormatting sqref="AC626">
    <cfRule type="endsWith" dxfId="3467" priority="4147" operator="endsWith" text="x">
      <formula>RIGHT(AC626,LEN("x"))="x"</formula>
    </cfRule>
  </conditionalFormatting>
  <conditionalFormatting sqref="AC624:AC625">
    <cfRule type="endsWith" dxfId="3466" priority="4146" operator="endsWith" text="x">
      <formula>RIGHT(AC624,LEN("x"))="x"</formula>
    </cfRule>
  </conditionalFormatting>
  <conditionalFormatting sqref="AI624:AL624 AB624:AB626 AI626:AL626 AD626:AG626 AD624:AG624 AD625:AL625">
    <cfRule type="endsWith" dxfId="3465" priority="4159" operator="endsWith" text="x">
      <formula>RIGHT(AB624,LEN("x"))="x"</formula>
    </cfRule>
  </conditionalFormatting>
  <conditionalFormatting sqref="AL626 AB626 AI626:AJ626 AD626:AG626">
    <cfRule type="endsWith" dxfId="3464" priority="4158" operator="endsWith" text="x">
      <formula>RIGHT(AB626,LEN("x"))="x"</formula>
    </cfRule>
  </conditionalFormatting>
  <conditionalFormatting sqref="AB624:AB625 AD624:AG624 AD625:AH625">
    <cfRule type="endsWith" dxfId="3463" priority="4157" operator="endsWith" text="x">
      <formula>RIGHT(AB624,LEN("x"))="x"</formula>
    </cfRule>
  </conditionalFormatting>
  <conditionalFormatting sqref="AI626">
    <cfRule type="endsWith" dxfId="3462" priority="4156" operator="endsWith" text="x">
      <formula>RIGHT(AI626,LEN("x"))="x"</formula>
    </cfRule>
  </conditionalFormatting>
  <conditionalFormatting sqref="AI624:AL625">
    <cfRule type="endsWith" dxfId="3461" priority="4155" operator="endsWith" text="x">
      <formula>RIGHT(AI624,LEN("x"))="x"</formula>
    </cfRule>
  </conditionalFormatting>
  <conditionalFormatting sqref="AI624:AL625">
    <cfRule type="endsWith" dxfId="3460" priority="4154" operator="endsWith" text="x">
      <formula>RIGHT(AI624,LEN("x"))="x"</formula>
    </cfRule>
  </conditionalFormatting>
  <conditionalFormatting sqref="AJ626">
    <cfRule type="endsWith" dxfId="3459" priority="4153" operator="endsWith" text="x">
      <formula>RIGHT(AJ626,LEN("x"))="x"</formula>
    </cfRule>
  </conditionalFormatting>
  <conditionalFormatting sqref="AH624">
    <cfRule type="endsWith" dxfId="3458" priority="4152" operator="endsWith" text="x">
      <formula>RIGHT(AH624,LEN("x"))="x"</formula>
    </cfRule>
  </conditionalFormatting>
  <conditionalFormatting sqref="AH624">
    <cfRule type="endsWith" dxfId="3457" priority="4151" operator="endsWith" text="x">
      <formula>RIGHT(AH624,LEN("x"))="x"</formula>
    </cfRule>
  </conditionalFormatting>
  <conditionalFormatting sqref="AH626">
    <cfRule type="endsWith" dxfId="3456" priority="4150" operator="endsWith" text="x">
      <formula>RIGHT(AH626,LEN("x"))="x"</formula>
    </cfRule>
  </conditionalFormatting>
  <conditionalFormatting sqref="AH626">
    <cfRule type="endsWith" dxfId="3455" priority="4149" operator="endsWith" text="x">
      <formula>RIGHT(AH626,LEN("x"))="x"</formula>
    </cfRule>
  </conditionalFormatting>
  <conditionalFormatting sqref="AB652">
    <cfRule type="endsWith" dxfId="3454" priority="4145" operator="endsWith" text="x">
      <formula>RIGHT(AB652,LEN("x"))="x"</formula>
    </cfRule>
  </conditionalFormatting>
  <conditionalFormatting sqref="AB653:AL653">
    <cfRule type="endsWith" dxfId="3453" priority="4144" operator="endsWith" text="x">
      <formula>RIGHT(AB653,LEN("x"))="x"</formula>
    </cfRule>
  </conditionalFormatting>
  <conditionalFormatting sqref="AI653:AL653">
    <cfRule type="endsWith" dxfId="3452" priority="4143" operator="endsWith" text="x">
      <formula>RIGHT(AI653,LEN("x"))="x"</formula>
    </cfRule>
  </conditionalFormatting>
  <conditionalFormatting sqref="AF653">
    <cfRule type="endsWith" dxfId="3451" priority="4142" operator="endsWith" text="x">
      <formula>RIGHT(AF653,LEN("x"))="x"</formula>
    </cfRule>
  </conditionalFormatting>
  <conditionalFormatting sqref="AB679:AL679">
    <cfRule type="endsWith" dxfId="3450" priority="4141" operator="endsWith" text="x">
      <formula>RIGHT(AB679,LEN("x"))="x"</formula>
    </cfRule>
  </conditionalFormatting>
  <conditionalFormatting sqref="AI679:AL679">
    <cfRule type="endsWith" dxfId="3449" priority="4140" operator="endsWith" text="x">
      <formula>RIGHT(AI679,LEN("x"))="x"</formula>
    </cfRule>
  </conditionalFormatting>
  <conditionalFormatting sqref="AF679">
    <cfRule type="endsWith" dxfId="3448" priority="4139" operator="endsWith" text="x">
      <formula>RIGHT(AF679,LEN("x"))="x"</formula>
    </cfRule>
  </conditionalFormatting>
  <conditionalFormatting sqref="AB693:AL693">
    <cfRule type="endsWith" dxfId="3447" priority="4138" operator="endsWith" text="x">
      <formula>RIGHT(AB693,LEN("x"))="x"</formula>
    </cfRule>
  </conditionalFormatting>
  <conditionalFormatting sqref="AI693:AL693">
    <cfRule type="endsWith" dxfId="3446" priority="4137" operator="endsWith" text="x">
      <formula>RIGHT(AI693,LEN("x"))="x"</formula>
    </cfRule>
  </conditionalFormatting>
  <conditionalFormatting sqref="AF693">
    <cfRule type="endsWith" dxfId="3445" priority="4136" operator="endsWith" text="x">
      <formula>RIGHT(AF693,LEN("x"))="x"</formula>
    </cfRule>
  </conditionalFormatting>
  <conditionalFormatting sqref="AB733:AL733 AB735:AL743 AB734:AC734 AE734:AL734">
    <cfRule type="endsWith" dxfId="3444" priority="4135" operator="endsWith" text="x">
      <formula>RIGHT(AB733,LEN("x"))="x"</formula>
    </cfRule>
  </conditionalFormatting>
  <conditionalFormatting sqref="AB733:AE733 AB735:AH736 AB734 AE734:AH734 AG733:AH733">
    <cfRule type="endsWith" dxfId="3443" priority="4134" operator="endsWith" text="x">
      <formula>RIGHT(AB733,LEN("x"))="x"</formula>
    </cfRule>
  </conditionalFormatting>
  <conditionalFormatting sqref="AI737">
    <cfRule type="endsWith" dxfId="3442" priority="4133" operator="endsWith" text="x">
      <formula>RIGHT(AI737,LEN("x"))="x"</formula>
    </cfRule>
  </conditionalFormatting>
  <conditionalFormatting sqref="AI738">
    <cfRule type="endsWith" dxfId="3441" priority="4132" operator="endsWith" text="x">
      <formula>RIGHT(AI738,LEN("x"))="x"</formula>
    </cfRule>
  </conditionalFormatting>
  <conditionalFormatting sqref="AI738">
    <cfRule type="endsWith" dxfId="3440" priority="4131" operator="endsWith" text="x">
      <formula>RIGHT(AI738,LEN("x"))="x"</formula>
    </cfRule>
  </conditionalFormatting>
  <conditionalFormatting sqref="AI735:AL736">
    <cfRule type="endsWith" dxfId="3439" priority="4130" operator="endsWith" text="x">
      <formula>RIGHT(AI735,LEN("x"))="x"</formula>
    </cfRule>
  </conditionalFormatting>
  <conditionalFormatting sqref="AI734:AK734 AI735:AL736 AI733:AL733">
    <cfRule type="endsWith" dxfId="3438" priority="4129" operator="endsWith" text="x">
      <formula>RIGHT(AI733,LEN("x"))="x"</formula>
    </cfRule>
  </conditionalFormatting>
  <conditionalFormatting sqref="AL734">
    <cfRule type="endsWith" dxfId="3437" priority="4128" operator="endsWith" text="x">
      <formula>RIGHT(AL734,LEN("x"))="x"</formula>
    </cfRule>
  </conditionalFormatting>
  <conditionalFormatting sqref="AC734">
    <cfRule type="endsWith" dxfId="3436" priority="4127" operator="endsWith" text="x">
      <formula>RIGHT(AC734,LEN("x"))="x"</formula>
    </cfRule>
  </conditionalFormatting>
  <conditionalFormatting sqref="AJ737">
    <cfRule type="endsWith" dxfId="3435" priority="4126" operator="endsWith" text="x">
      <formula>RIGHT(AJ737,LEN("x"))="x"</formula>
    </cfRule>
  </conditionalFormatting>
  <conditionalFormatting sqref="AJ738">
    <cfRule type="endsWith" dxfId="3434" priority="4125" operator="endsWith" text="x">
      <formula>RIGHT(AJ738,LEN("x"))="x"</formula>
    </cfRule>
  </conditionalFormatting>
  <conditionalFormatting sqref="AJ738">
    <cfRule type="endsWith" dxfId="3433" priority="4124" operator="endsWith" text="x">
      <formula>RIGHT(AJ738,LEN("x"))="x"</formula>
    </cfRule>
  </conditionalFormatting>
  <conditionalFormatting sqref="AF733">
    <cfRule type="endsWith" dxfId="3432" priority="4123" operator="endsWith" text="x">
      <formula>RIGHT(AF733,LEN("x"))="x"</formula>
    </cfRule>
  </conditionalFormatting>
  <conditionalFormatting sqref="AD734">
    <cfRule type="endsWith" dxfId="3431" priority="4122" operator="endsWith" text="x">
      <formula>RIGHT(AD734,LEN("x"))="x"</formula>
    </cfRule>
  </conditionalFormatting>
  <conditionalFormatting sqref="AD734">
    <cfRule type="endsWith" dxfId="3430" priority="4121" operator="endsWith" text="x">
      <formula>RIGHT(AD734,LEN("x"))="x"</formula>
    </cfRule>
  </conditionalFormatting>
  <conditionalFormatting sqref="AH182 AB182:AB186 AE182 AD183:AG183 AD185:AG185 AD186:AH186 AD184:AH184">
    <cfRule type="endsWith" dxfId="3429" priority="4019" operator="endsWith" text="x">
      <formula>RIGHT(AB182,LEN("x"))="x"</formula>
    </cfRule>
  </conditionalFormatting>
  <conditionalFormatting sqref="AB654:AL654 AB656:AL664 AB655:AC655 AE655 AG655:AL655">
    <cfRule type="endsWith" dxfId="3428" priority="4120" operator="endsWith" text="x">
      <formula>RIGHT(AB654,LEN("x"))="x"</formula>
    </cfRule>
  </conditionalFormatting>
  <conditionalFormatting sqref="AI655:AK655 AI656:AL657 AI654:AL654 AB660:AL664 AL658:AL659 AB658:AJ659">
    <cfRule type="endsWith" dxfId="3427" priority="4119" operator="endsWith" text="x">
      <formula>RIGHT(AB654,LEN("x"))="x"</formula>
    </cfRule>
  </conditionalFormatting>
  <conditionalFormatting sqref="AB654:AE654 AB656:AH657 AB655 AE655 AG654:AH655">
    <cfRule type="endsWith" dxfId="3426" priority="4118" operator="endsWith" text="x">
      <formula>RIGHT(AB654,LEN("x"))="x"</formula>
    </cfRule>
  </conditionalFormatting>
  <conditionalFormatting sqref="AI658">
    <cfRule type="endsWith" dxfId="3425" priority="4117" operator="endsWith" text="x">
      <formula>RIGHT(AI658,LEN("x"))="x"</formula>
    </cfRule>
  </conditionalFormatting>
  <conditionalFormatting sqref="AI659">
    <cfRule type="endsWith" dxfId="3424" priority="4116" operator="endsWith" text="x">
      <formula>RIGHT(AI659,LEN("x"))="x"</formula>
    </cfRule>
  </conditionalFormatting>
  <conditionalFormatting sqref="AI659">
    <cfRule type="endsWith" dxfId="3423" priority="4115" operator="endsWith" text="x">
      <formula>RIGHT(AI659,LEN("x"))="x"</formula>
    </cfRule>
  </conditionalFormatting>
  <conditionalFormatting sqref="AI656:AL657">
    <cfRule type="endsWith" dxfId="3422" priority="4114" operator="endsWith" text="x">
      <formula>RIGHT(AI656,LEN("x"))="x"</formula>
    </cfRule>
  </conditionalFormatting>
  <conditionalFormatting sqref="AL655">
    <cfRule type="endsWith" dxfId="3421" priority="4113" operator="endsWith" text="x">
      <formula>RIGHT(AL655,LEN("x"))="x"</formula>
    </cfRule>
  </conditionalFormatting>
  <conditionalFormatting sqref="AC655">
    <cfRule type="endsWith" dxfId="3420" priority="4112" operator="endsWith" text="x">
      <formula>RIGHT(AC655,LEN("x"))="x"</formula>
    </cfRule>
  </conditionalFormatting>
  <conditionalFormatting sqref="AJ658">
    <cfRule type="endsWith" dxfId="3419" priority="4111" operator="endsWith" text="x">
      <formula>RIGHT(AJ658,LEN("x"))="x"</formula>
    </cfRule>
  </conditionalFormatting>
  <conditionalFormatting sqref="AJ659">
    <cfRule type="endsWith" dxfId="3418" priority="4110" operator="endsWith" text="x">
      <formula>RIGHT(AJ659,LEN("x"))="x"</formula>
    </cfRule>
  </conditionalFormatting>
  <conditionalFormatting sqref="AJ659">
    <cfRule type="endsWith" dxfId="3417" priority="4109" operator="endsWith" text="x">
      <formula>RIGHT(AJ659,LEN("x"))="x"</formula>
    </cfRule>
  </conditionalFormatting>
  <conditionalFormatting sqref="AF654">
    <cfRule type="endsWith" dxfId="3416" priority="4108" operator="endsWith" text="x">
      <formula>RIGHT(AF654,LEN("x"))="x"</formula>
    </cfRule>
  </conditionalFormatting>
  <conditionalFormatting sqref="AH620">
    <cfRule type="endsWith" dxfId="3415" priority="4102" operator="endsWith" text="x">
      <formula>RIGHT(AH620,LEN("x"))="x"</formula>
    </cfRule>
  </conditionalFormatting>
  <conditionalFormatting sqref="AJ659">
    <cfRule type="endsWith" dxfId="3414" priority="4107" operator="endsWith" text="x">
      <formula>RIGHT(AJ659,LEN("x"))="x"</formula>
    </cfRule>
  </conditionalFormatting>
  <conditionalFormatting sqref="AJ659">
    <cfRule type="endsWith" dxfId="3413" priority="4106" operator="endsWith" text="x">
      <formula>RIGHT(AJ659,LEN("x"))="x"</formula>
    </cfRule>
  </conditionalFormatting>
  <conditionalFormatting sqref="AD655">
    <cfRule type="endsWith" dxfId="3412" priority="4105" operator="endsWith" text="x">
      <formula>RIGHT(AD655,LEN("x"))="x"</formula>
    </cfRule>
  </conditionalFormatting>
  <conditionalFormatting sqref="AF655">
    <cfRule type="endsWith" dxfId="3411" priority="4104" operator="endsWith" text="x">
      <formula>RIGHT(AF655,LEN("x"))="x"</formula>
    </cfRule>
  </conditionalFormatting>
  <conditionalFormatting sqref="AH620">
    <cfRule type="endsWith" dxfId="3410" priority="4103" operator="endsWith" text="x">
      <formula>RIGHT(AH620,LEN("x"))="x"</formula>
    </cfRule>
  </conditionalFormatting>
  <conditionalFormatting sqref="AF144">
    <cfRule type="endsWith" dxfId="3409" priority="4077" operator="endsWith" text="x">
      <formula>RIGHT(AF144,LEN("x"))="x"</formula>
    </cfRule>
  </conditionalFormatting>
  <conditionalFormatting sqref="AD141">
    <cfRule type="endsWith" dxfId="3408" priority="4089" operator="endsWith" text="x">
      <formula>RIGHT(AD141,LEN("x"))="x"</formula>
    </cfRule>
  </conditionalFormatting>
  <conditionalFormatting sqref="AD141">
    <cfRule type="endsWith" dxfId="3407" priority="4088" operator="endsWith" text="x">
      <formula>RIGHT(AD141,LEN("x"))="x"</formula>
    </cfRule>
  </conditionalFormatting>
  <conditionalFormatting sqref="AD142">
    <cfRule type="endsWith" dxfId="3406" priority="4087" operator="endsWith" text="x">
      <formula>RIGHT(AD142,LEN("x"))="x"</formula>
    </cfRule>
  </conditionalFormatting>
  <conditionalFormatting sqref="AF140">
    <cfRule type="endsWith" dxfId="3405" priority="4081" operator="endsWith" text="x">
      <formula>RIGHT(AF140,LEN("x"))="x"</formula>
    </cfRule>
  </conditionalFormatting>
  <conditionalFormatting sqref="AD142">
    <cfRule type="endsWith" dxfId="3404" priority="4086" operator="endsWith" text="x">
      <formula>RIGHT(AD142,LEN("x"))="x"</formula>
    </cfRule>
  </conditionalFormatting>
  <conditionalFormatting sqref="AD143">
    <cfRule type="endsWith" dxfId="3403" priority="4085" operator="endsWith" text="x">
      <formula>RIGHT(AD143,LEN("x"))="x"</formula>
    </cfRule>
  </conditionalFormatting>
  <conditionalFormatting sqref="AD143">
    <cfRule type="endsWith" dxfId="3402" priority="4084" operator="endsWith" text="x">
      <formula>RIGHT(AD143,LEN("x"))="x"</formula>
    </cfRule>
  </conditionalFormatting>
  <conditionalFormatting sqref="AD144">
    <cfRule type="endsWith" dxfId="3401" priority="4083" operator="endsWith" text="x">
      <formula>RIGHT(AD144,LEN("x"))="x"</formula>
    </cfRule>
  </conditionalFormatting>
  <conditionalFormatting sqref="AD144">
    <cfRule type="endsWith" dxfId="3400" priority="4082" operator="endsWith" text="x">
      <formula>RIGHT(AD144,LEN("x"))="x"</formula>
    </cfRule>
  </conditionalFormatting>
  <conditionalFormatting sqref="AF140">
    <cfRule type="endsWith" dxfId="3399" priority="4080" operator="endsWith" text="x">
      <formula>RIGHT(AF140,LEN("x"))="x"</formula>
    </cfRule>
  </conditionalFormatting>
  <conditionalFormatting sqref="AF141">
    <cfRule type="endsWith" dxfId="3398" priority="4079" operator="endsWith" text="x">
      <formula>RIGHT(AF141,LEN("x"))="x"</formula>
    </cfRule>
  </conditionalFormatting>
  <conditionalFormatting sqref="AF141">
    <cfRule type="endsWith" dxfId="3397" priority="4078" operator="endsWith" text="x">
      <formula>RIGHT(AF141,LEN("x"))="x"</formula>
    </cfRule>
  </conditionalFormatting>
  <conditionalFormatting sqref="AB148:AH148 AB146:AF146 AH146 AB147 AB150:AH150 AB149:AG149 AD147:AG147">
    <cfRule type="endsWith" dxfId="3396" priority="4101" operator="endsWith" text="x">
      <formula>RIGHT(AB146,LEN("x"))="x"</formula>
    </cfRule>
  </conditionalFormatting>
  <conditionalFormatting sqref="AB150:AH150 AB149:AG149">
    <cfRule type="endsWith" dxfId="3395" priority="4100" operator="endsWith" text="x">
      <formula>RIGHT(AB149,LEN("x"))="x"</formula>
    </cfRule>
  </conditionalFormatting>
  <conditionalFormatting sqref="AB148:AH148 AD146:AF146 AH146 AB146:AB147 AD147:AG147">
    <cfRule type="endsWith" dxfId="3394" priority="4099" operator="endsWith" text="x">
      <formula>RIGHT(AB146,LEN("x"))="x"</formula>
    </cfRule>
  </conditionalFormatting>
  <conditionalFormatting sqref="AC146">
    <cfRule type="endsWith" dxfId="3393" priority="4098" operator="endsWith" text="x">
      <formula>RIGHT(AC146,LEN("x"))="x"</formula>
    </cfRule>
  </conditionalFormatting>
  <conditionalFormatting sqref="AG146">
    <cfRule type="endsWith" dxfId="3392" priority="4097" operator="endsWith" text="x">
      <formula>RIGHT(AG146,LEN("x"))="x"</formula>
    </cfRule>
  </conditionalFormatting>
  <conditionalFormatting sqref="AG146">
    <cfRule type="endsWith" dxfId="3391" priority="4096" operator="endsWith" text="x">
      <formula>RIGHT(AG146,LEN("x"))="x"</formula>
    </cfRule>
  </conditionalFormatting>
  <conditionalFormatting sqref="AH147">
    <cfRule type="endsWith" dxfId="3390" priority="4095" operator="endsWith" text="x">
      <formula>RIGHT(AH147,LEN("x"))="x"</formula>
    </cfRule>
  </conditionalFormatting>
  <conditionalFormatting sqref="AH147">
    <cfRule type="endsWith" dxfId="3389" priority="4094" operator="endsWith" text="x">
      <formula>RIGHT(AH147,LEN("x"))="x"</formula>
    </cfRule>
  </conditionalFormatting>
  <conditionalFormatting sqref="AH149">
    <cfRule type="endsWith" dxfId="3388" priority="4093" operator="endsWith" text="x">
      <formula>RIGHT(AH149,LEN("x"))="x"</formula>
    </cfRule>
  </conditionalFormatting>
  <conditionalFormatting sqref="AH149">
    <cfRule type="endsWith" dxfId="3387" priority="4092" operator="endsWith" text="x">
      <formula>RIGHT(AH149,LEN("x"))="x"</formula>
    </cfRule>
  </conditionalFormatting>
  <conditionalFormatting sqref="AD140">
    <cfRule type="endsWith" dxfId="3386" priority="4091" operator="endsWith" text="x">
      <formula>RIGHT(AD140,LEN("x"))="x"</formula>
    </cfRule>
  </conditionalFormatting>
  <conditionalFormatting sqref="AD140">
    <cfRule type="endsWith" dxfId="3385" priority="4090" operator="endsWith" text="x">
      <formula>RIGHT(AD140,LEN("x"))="x"</formula>
    </cfRule>
  </conditionalFormatting>
  <conditionalFormatting sqref="AF144">
    <cfRule type="endsWith" dxfId="3384" priority="4076" operator="endsWith" text="x">
      <formula>RIGHT(AF144,LEN("x"))="x"</formula>
    </cfRule>
  </conditionalFormatting>
  <conditionalFormatting sqref="AF143">
    <cfRule type="endsWith" dxfId="3383" priority="4075" operator="endsWith" text="x">
      <formula>RIGHT(AF143,LEN("x"))="x"</formula>
    </cfRule>
  </conditionalFormatting>
  <conditionalFormatting sqref="AF143">
    <cfRule type="endsWith" dxfId="3382" priority="4074" operator="endsWith" text="x">
      <formula>RIGHT(AF143,LEN("x"))="x"</formula>
    </cfRule>
  </conditionalFormatting>
  <conditionalFormatting sqref="AF142">
    <cfRule type="endsWith" dxfId="3381" priority="4073" operator="endsWith" text="x">
      <formula>RIGHT(AF142,LEN("x"))="x"</formula>
    </cfRule>
  </conditionalFormatting>
  <conditionalFormatting sqref="AF142">
    <cfRule type="endsWith" dxfId="3380" priority="4072" operator="endsWith" text="x">
      <formula>RIGHT(AF142,LEN("x"))="x"</formula>
    </cfRule>
  </conditionalFormatting>
  <conditionalFormatting sqref="AH760">
    <cfRule type="endsWith" dxfId="3379" priority="4071" operator="endsWith" text="x">
      <formula>RIGHT(AH760,LEN("x"))="x"</formula>
    </cfRule>
  </conditionalFormatting>
  <conditionalFormatting sqref="AH760">
    <cfRule type="endsWith" dxfId="3378" priority="4070" operator="endsWith" text="x">
      <formula>RIGHT(AH760,LEN("x"))="x"</formula>
    </cfRule>
  </conditionalFormatting>
  <conditionalFormatting sqref="AH761">
    <cfRule type="endsWith" dxfId="3377" priority="4069" operator="endsWith" text="x">
      <formula>RIGHT(AH761,LEN("x"))="x"</formula>
    </cfRule>
  </conditionalFormatting>
  <conditionalFormatting sqref="AH761">
    <cfRule type="endsWith" dxfId="3376" priority="4068" operator="endsWith" text="x">
      <formula>RIGHT(AH761,LEN("x"))="x"</formula>
    </cfRule>
  </conditionalFormatting>
  <conditionalFormatting sqref="AH762">
    <cfRule type="endsWith" dxfId="3375" priority="4067" operator="endsWith" text="x">
      <formula>RIGHT(AH762,LEN("x"))="x"</formula>
    </cfRule>
  </conditionalFormatting>
  <conditionalFormatting sqref="AH762">
    <cfRule type="endsWith" dxfId="3374" priority="4066" operator="endsWith" text="x">
      <formula>RIGHT(AH762,LEN("x"))="x"</formula>
    </cfRule>
  </conditionalFormatting>
  <conditionalFormatting sqref="AH763">
    <cfRule type="endsWith" dxfId="3373" priority="4065" operator="endsWith" text="x">
      <formula>RIGHT(AH763,LEN("x"))="x"</formula>
    </cfRule>
  </conditionalFormatting>
  <conditionalFormatting sqref="AH763">
    <cfRule type="endsWith" dxfId="3372" priority="4064" operator="endsWith" text="x">
      <formula>RIGHT(AH763,LEN("x"))="x"</formula>
    </cfRule>
  </conditionalFormatting>
  <conditionalFormatting sqref="AH764">
    <cfRule type="endsWith" dxfId="3371" priority="4063" operator="endsWith" text="x">
      <formula>RIGHT(AH764,LEN("x"))="x"</formula>
    </cfRule>
  </conditionalFormatting>
  <conditionalFormatting sqref="AH764">
    <cfRule type="endsWith" dxfId="3370" priority="4062" operator="endsWith" text="x">
      <formula>RIGHT(AH764,LEN("x"))="x"</formula>
    </cfRule>
  </conditionalFormatting>
  <conditionalFormatting sqref="AI168:AL169 AB161:AL161 AB167:AL167 AB162:AC166 AE162:AE166 AG162:AL166">
    <cfRule type="endsWith" dxfId="3369" priority="4061" operator="endsWith" text="x">
      <formula>RIGHT(AB161,LEN("x"))="x"</formula>
    </cfRule>
  </conditionalFormatting>
  <conditionalFormatting sqref="AC163">
    <cfRule type="endsWith" dxfId="3368" priority="4060" operator="endsWith" text="x">
      <formula>RIGHT(AC163,LEN("x"))="x"</formula>
    </cfRule>
  </conditionalFormatting>
  <conditionalFormatting sqref="AC164">
    <cfRule type="endsWith" dxfId="3367" priority="4059" operator="endsWith" text="x">
      <formula>RIGHT(AC164,LEN("x"))="x"</formula>
    </cfRule>
  </conditionalFormatting>
  <conditionalFormatting sqref="AG162">
    <cfRule type="endsWith" dxfId="3366" priority="4058" operator="endsWith" text="x">
      <formula>RIGHT(AG162,LEN("x"))="x"</formula>
    </cfRule>
  </conditionalFormatting>
  <conditionalFormatting sqref="AH163">
    <cfRule type="endsWith" dxfId="3365" priority="4057" operator="endsWith" text="x">
      <formula>RIGHT(AH163,LEN("x"))="x"</formula>
    </cfRule>
  </conditionalFormatting>
  <conditionalFormatting sqref="AB165">
    <cfRule type="endsWith" dxfId="3364" priority="4056" operator="endsWith" text="x">
      <formula>RIGHT(AB165,LEN("x"))="x"</formula>
    </cfRule>
  </conditionalFormatting>
  <conditionalFormatting sqref="AC165 AE165 AH165">
    <cfRule type="endsWith" dxfId="3363" priority="4055" operator="endsWith" text="x">
      <formula>RIGHT(AC165,LEN("x"))="x"</formula>
    </cfRule>
  </conditionalFormatting>
  <conditionalFormatting sqref="AG165">
    <cfRule type="endsWith" dxfId="3362" priority="4054" operator="endsWith" text="x">
      <formula>RIGHT(AG165,LEN("x"))="x"</formula>
    </cfRule>
  </conditionalFormatting>
  <conditionalFormatting sqref="AL162">
    <cfRule type="endsWith" dxfId="3361" priority="4053" operator="endsWith" text="x">
      <formula>RIGHT(AL162,LEN("x"))="x"</formula>
    </cfRule>
  </conditionalFormatting>
  <conditionalFormatting sqref="AF161">
    <cfRule type="endsWith" dxfId="3360" priority="4052" operator="endsWith" text="x">
      <formula>RIGHT(AF161,LEN("x"))="x"</formula>
    </cfRule>
  </conditionalFormatting>
  <conditionalFormatting sqref="AH168 AB168:AB172 AE168 AD169:AG169 AD171:AG171 AD172:AH172 AD170:AH170">
    <cfRule type="endsWith" dxfId="3359" priority="4051" operator="endsWith" text="x">
      <formula>RIGHT(AB168,LEN("x"))="x"</formula>
    </cfRule>
  </conditionalFormatting>
  <conditionalFormatting sqref="AB171:AB172 AD171:AG171 AD172:AH172">
    <cfRule type="endsWith" dxfId="3358" priority="4050" operator="endsWith" text="x">
      <formula>RIGHT(AB171,LEN("x"))="x"</formula>
    </cfRule>
  </conditionalFormatting>
  <conditionalFormatting sqref="AE168 AH168 AB168:AB170 AD169:AG169 AD170:AH170">
    <cfRule type="endsWith" dxfId="3357" priority="4049" operator="endsWith" text="x">
      <formula>RIGHT(AB168,LEN("x"))="x"</formula>
    </cfRule>
  </conditionalFormatting>
  <conditionalFormatting sqref="AG182">
    <cfRule type="endsWith" dxfId="3356" priority="4015" operator="endsWith" text="x">
      <formula>RIGHT(AG182,LEN("x"))="x"</formula>
    </cfRule>
  </conditionalFormatting>
  <conditionalFormatting sqref="AG168">
    <cfRule type="endsWith" dxfId="3355" priority="4048" operator="endsWith" text="x">
      <formula>RIGHT(AG168,LEN("x"))="x"</formula>
    </cfRule>
  </conditionalFormatting>
  <conditionalFormatting sqref="AG168">
    <cfRule type="endsWith" dxfId="3354" priority="4047" operator="endsWith" text="x">
      <formula>RIGHT(AG168,LEN("x"))="x"</formula>
    </cfRule>
  </conditionalFormatting>
  <conditionalFormatting sqref="AH169">
    <cfRule type="endsWith" dxfId="3353" priority="4046" operator="endsWith" text="x">
      <formula>RIGHT(AH169,LEN("x"))="x"</formula>
    </cfRule>
  </conditionalFormatting>
  <conditionalFormatting sqref="AH169">
    <cfRule type="endsWith" dxfId="3352" priority="4045" operator="endsWith" text="x">
      <formula>RIGHT(AH169,LEN("x"))="x"</formula>
    </cfRule>
  </conditionalFormatting>
  <conditionalFormatting sqref="AH171">
    <cfRule type="endsWith" dxfId="3351" priority="4044" operator="endsWith" text="x">
      <formula>RIGHT(AH171,LEN("x"))="x"</formula>
    </cfRule>
  </conditionalFormatting>
  <conditionalFormatting sqref="AH171">
    <cfRule type="endsWith" dxfId="3350" priority="4043" operator="endsWith" text="x">
      <formula>RIGHT(AH171,LEN("x"))="x"</formula>
    </cfRule>
  </conditionalFormatting>
  <conditionalFormatting sqref="AD162">
    <cfRule type="endsWith" dxfId="3349" priority="4042" operator="endsWith" text="x">
      <formula>RIGHT(AD162,LEN("x"))="x"</formula>
    </cfRule>
  </conditionalFormatting>
  <conditionalFormatting sqref="AD163">
    <cfRule type="endsWith" dxfId="3348" priority="4041" operator="endsWith" text="x">
      <formula>RIGHT(AD163,LEN("x"))="x"</formula>
    </cfRule>
  </conditionalFormatting>
  <conditionalFormatting sqref="AD164">
    <cfRule type="endsWith" dxfId="3347" priority="4040" operator="endsWith" text="x">
      <formula>RIGHT(AD164,LEN("x"))="x"</formula>
    </cfRule>
  </conditionalFormatting>
  <conditionalFormatting sqref="AD165">
    <cfRule type="endsWith" dxfId="3346" priority="4039" operator="endsWith" text="x">
      <formula>RIGHT(AD165,LEN("x"))="x"</formula>
    </cfRule>
  </conditionalFormatting>
  <conditionalFormatting sqref="AD166">
    <cfRule type="endsWith" dxfId="3345" priority="4038" operator="endsWith" text="x">
      <formula>RIGHT(AD166,LEN("x"))="x"</formula>
    </cfRule>
  </conditionalFormatting>
  <conditionalFormatting sqref="AD168">
    <cfRule type="endsWith" dxfId="3344" priority="4037" operator="endsWith" text="x">
      <formula>RIGHT(AD168,LEN("x"))="x"</formula>
    </cfRule>
  </conditionalFormatting>
  <conditionalFormatting sqref="AF162">
    <cfRule type="endsWith" dxfId="3343" priority="4036" operator="endsWith" text="x">
      <formula>RIGHT(AF162,LEN("x"))="x"</formula>
    </cfRule>
  </conditionalFormatting>
  <conditionalFormatting sqref="AF163">
    <cfRule type="endsWith" dxfId="3342" priority="4035" operator="endsWith" text="x">
      <formula>RIGHT(AF163,LEN("x"))="x"</formula>
    </cfRule>
  </conditionalFormatting>
  <conditionalFormatting sqref="AF166">
    <cfRule type="endsWith" dxfId="3341" priority="4034" operator="endsWith" text="x">
      <formula>RIGHT(AF166,LEN("x"))="x"</formula>
    </cfRule>
  </conditionalFormatting>
  <conditionalFormatting sqref="AF165">
    <cfRule type="endsWith" dxfId="3340" priority="4033" operator="endsWith" text="x">
      <formula>RIGHT(AF165,LEN("x"))="x"</formula>
    </cfRule>
  </conditionalFormatting>
  <conditionalFormatting sqref="AF164">
    <cfRule type="endsWith" dxfId="3339" priority="4032" operator="endsWith" text="x">
      <formula>RIGHT(AF164,LEN("x"))="x"</formula>
    </cfRule>
  </conditionalFormatting>
  <conditionalFormatting sqref="AF168">
    <cfRule type="endsWith" dxfId="3338" priority="4031" operator="endsWith" text="x">
      <formula>RIGHT(AF168,LEN("x"))="x"</formula>
    </cfRule>
  </conditionalFormatting>
  <conditionalFormatting sqref="AF227">
    <cfRule type="endsWith" dxfId="3337" priority="3937" operator="endsWith" text="x">
      <formula>RIGHT(AF227,LEN("x"))="x"</formula>
    </cfRule>
  </conditionalFormatting>
  <conditionalFormatting sqref="AE222">
    <cfRule type="endsWith" dxfId="3336" priority="3936" operator="endsWith" text="x">
      <formula>RIGHT(AE222,LEN("x"))="x"</formula>
    </cfRule>
  </conditionalFormatting>
  <conditionalFormatting sqref="AE223">
    <cfRule type="endsWith" dxfId="3335" priority="3935" operator="endsWith" text="x">
      <formula>RIGHT(AE223,LEN("x"))="x"</formula>
    </cfRule>
  </conditionalFormatting>
  <conditionalFormatting sqref="AE224">
    <cfRule type="endsWith" dxfId="3334" priority="3934" operator="endsWith" text="x">
      <formula>RIGHT(AE224,LEN("x"))="x"</formula>
    </cfRule>
  </conditionalFormatting>
  <conditionalFormatting sqref="AE224">
    <cfRule type="endsWith" dxfId="3333" priority="3933" operator="endsWith" text="x">
      <formula>RIGHT(AE224,LEN("x"))="x"</formula>
    </cfRule>
  </conditionalFormatting>
  <conditionalFormatting sqref="AE225">
    <cfRule type="endsWith" dxfId="3332" priority="3932" operator="endsWith" text="x">
      <formula>RIGHT(AE225,LEN("x"))="x"</formula>
    </cfRule>
  </conditionalFormatting>
  <conditionalFormatting sqref="AG221">
    <cfRule type="endsWith" dxfId="3331" priority="3931" operator="endsWith" text="x">
      <formula>RIGHT(AG221,LEN("x"))="x"</formula>
    </cfRule>
  </conditionalFormatting>
  <conditionalFormatting sqref="AG221">
    <cfRule type="endsWith" dxfId="3330" priority="3930" operator="endsWith" text="x">
      <formula>RIGHT(AG221,LEN("x"))="x"</formula>
    </cfRule>
  </conditionalFormatting>
  <conditionalFormatting sqref="AG222">
    <cfRule type="endsWith" dxfId="3329" priority="3929" operator="endsWith" text="x">
      <formula>RIGHT(AG222,LEN("x"))="x"</formula>
    </cfRule>
  </conditionalFormatting>
  <conditionalFormatting sqref="AG222">
    <cfRule type="endsWith" dxfId="3328" priority="3928" operator="endsWith" text="x">
      <formula>RIGHT(AG222,LEN("x"))="x"</formula>
    </cfRule>
  </conditionalFormatting>
  <conditionalFormatting sqref="AG223">
    <cfRule type="endsWith" dxfId="3327" priority="3927" operator="endsWith" text="x">
      <formula>RIGHT(AG223,LEN("x"))="x"</formula>
    </cfRule>
  </conditionalFormatting>
  <conditionalFormatting sqref="AG223">
    <cfRule type="endsWith" dxfId="3326" priority="3926" operator="endsWith" text="x">
      <formula>RIGHT(AG223,LEN("x"))="x"</formula>
    </cfRule>
  </conditionalFormatting>
  <conditionalFormatting sqref="AG224">
    <cfRule type="endsWith" dxfId="3325" priority="3925" operator="endsWith" text="x">
      <formula>RIGHT(AG224,LEN("x"))="x"</formula>
    </cfRule>
  </conditionalFormatting>
  <conditionalFormatting sqref="AG224">
    <cfRule type="endsWith" dxfId="3324" priority="3924" operator="endsWith" text="x">
      <formula>RIGHT(AG224,LEN("x"))="x"</formula>
    </cfRule>
  </conditionalFormatting>
  <conditionalFormatting sqref="AG225">
    <cfRule type="endsWith" dxfId="3323" priority="3923" operator="endsWith" text="x">
      <formula>RIGHT(AG225,LEN("x"))="x"</formula>
    </cfRule>
  </conditionalFormatting>
  <conditionalFormatting sqref="AB196:AB200">
    <cfRule type="endsWith" dxfId="3322" priority="3922" operator="endsWith" text="x">
      <formula>RIGHT(AB196,LEN("x"))="x"</formula>
    </cfRule>
  </conditionalFormatting>
  <conditionalFormatting sqref="AB199:AB200">
    <cfRule type="endsWith" dxfId="3321" priority="3921" operator="endsWith" text="x">
      <formula>RIGHT(AB199,LEN("x"))="x"</formula>
    </cfRule>
  </conditionalFormatting>
  <conditionalFormatting sqref="AB196:AB198">
    <cfRule type="endsWith" dxfId="3320" priority="3920" operator="endsWith" text="x">
      <formula>RIGHT(AB196,LEN("x"))="x"</formula>
    </cfRule>
  </conditionalFormatting>
  <conditionalFormatting sqref="AB227:AB231">
    <cfRule type="endsWith" dxfId="3319" priority="3919" operator="endsWith" text="x">
      <formula>RIGHT(AB227,LEN("x"))="x"</formula>
    </cfRule>
  </conditionalFormatting>
  <conditionalFormatting sqref="AB230:AB231">
    <cfRule type="endsWith" dxfId="3318" priority="3918" operator="endsWith" text="x">
      <formula>RIGHT(AB230,LEN("x"))="x"</formula>
    </cfRule>
  </conditionalFormatting>
  <conditionalFormatting sqref="AB227:AB229">
    <cfRule type="endsWith" dxfId="3317" priority="3917" operator="endsWith" text="x">
      <formula>RIGHT(AB227,LEN("x"))="x"</formula>
    </cfRule>
  </conditionalFormatting>
  <conditionalFormatting sqref="AE196">
    <cfRule type="endsWith" dxfId="3316" priority="3916" operator="endsWith" text="x">
      <formula>RIGHT(AE196,LEN("x"))="x"</formula>
    </cfRule>
  </conditionalFormatting>
  <conditionalFormatting sqref="AE196">
    <cfRule type="endsWith" dxfId="3315" priority="3915" operator="endsWith" text="x">
      <formula>RIGHT(AE196,LEN("x"))="x"</formula>
    </cfRule>
  </conditionalFormatting>
  <conditionalFormatting sqref="AE227">
    <cfRule type="endsWith" dxfId="3314" priority="3914" operator="endsWith" text="x">
      <formula>RIGHT(AE227,LEN("x"))="x"</formula>
    </cfRule>
  </conditionalFormatting>
  <conditionalFormatting sqref="AE227">
    <cfRule type="endsWith" dxfId="3313" priority="3913" operator="endsWith" text="x">
      <formula>RIGHT(AE227,LEN("x"))="x"</formula>
    </cfRule>
  </conditionalFormatting>
  <conditionalFormatting sqref="AG196">
    <cfRule type="endsWith" dxfId="3312" priority="3912" operator="endsWith" text="x">
      <formula>RIGHT(AG196,LEN("x"))="x"</formula>
    </cfRule>
  </conditionalFormatting>
  <conditionalFormatting sqref="AG196">
    <cfRule type="endsWith" dxfId="3311" priority="3911" operator="endsWith" text="x">
      <formula>RIGHT(AG196,LEN("x"))="x"</formula>
    </cfRule>
  </conditionalFormatting>
  <conditionalFormatting sqref="AG227">
    <cfRule type="endsWith" dxfId="3310" priority="3910" operator="endsWith" text="x">
      <formula>RIGHT(AG227,LEN("x"))="x"</formula>
    </cfRule>
  </conditionalFormatting>
  <conditionalFormatting sqref="AG227">
    <cfRule type="endsWith" dxfId="3309" priority="3909" operator="endsWith" text="x">
      <formula>RIGHT(AG227,LEN("x"))="x"</formula>
    </cfRule>
  </conditionalFormatting>
  <conditionalFormatting sqref="AF747">
    <cfRule type="endsWith" dxfId="3308" priority="4030" operator="endsWith" text="x">
      <formula>RIGHT(AF747,LEN("x"))="x"</formula>
    </cfRule>
  </conditionalFormatting>
  <conditionalFormatting sqref="AF747">
    <cfRule type="endsWith" dxfId="3307" priority="4029" operator="endsWith" text="x">
      <formula>RIGHT(AF747,LEN("x"))="x"</formula>
    </cfRule>
  </conditionalFormatting>
  <conditionalFormatting sqref="AI182:AL183 AB175:AH175 AB181:AL181 AB176:AC180 AE176:AE180 AG176:AH180">
    <cfRule type="endsWith" dxfId="3306" priority="4028" operator="endsWith" text="x">
      <formula>RIGHT(AB175,LEN("x"))="x"</formula>
    </cfRule>
  </conditionalFormatting>
  <conditionalFormatting sqref="AC177">
    <cfRule type="endsWith" dxfId="3305" priority="4027" operator="endsWith" text="x">
      <formula>RIGHT(AC177,LEN("x"))="x"</formula>
    </cfRule>
  </conditionalFormatting>
  <conditionalFormatting sqref="AC178">
    <cfRule type="endsWith" dxfId="3304" priority="4026" operator="endsWith" text="x">
      <formula>RIGHT(AC178,LEN("x"))="x"</formula>
    </cfRule>
  </conditionalFormatting>
  <conditionalFormatting sqref="AG176">
    <cfRule type="endsWith" dxfId="3303" priority="4025" operator="endsWith" text="x">
      <formula>RIGHT(AG176,LEN("x"))="x"</formula>
    </cfRule>
  </conditionalFormatting>
  <conditionalFormatting sqref="AH177">
    <cfRule type="endsWith" dxfId="3302" priority="4024" operator="endsWith" text="x">
      <formula>RIGHT(AH177,LEN("x"))="x"</formula>
    </cfRule>
  </conditionalFormatting>
  <conditionalFormatting sqref="AB179">
    <cfRule type="endsWith" dxfId="3301" priority="4023" operator="endsWith" text="x">
      <formula>RIGHT(AB179,LEN("x"))="x"</formula>
    </cfRule>
  </conditionalFormatting>
  <conditionalFormatting sqref="AC179 AE179 AH179">
    <cfRule type="endsWith" dxfId="3300" priority="4022" operator="endsWith" text="x">
      <formula>RIGHT(AC179,LEN("x"))="x"</formula>
    </cfRule>
  </conditionalFormatting>
  <conditionalFormatting sqref="AG179">
    <cfRule type="endsWith" dxfId="3299" priority="4021" operator="endsWith" text="x">
      <formula>RIGHT(AG179,LEN("x"))="x"</formula>
    </cfRule>
  </conditionalFormatting>
  <conditionalFormatting sqref="AH185">
    <cfRule type="endsWith" dxfId="3298" priority="4011" operator="endsWith" text="x">
      <formula>RIGHT(AH185,LEN("x"))="x"</formula>
    </cfRule>
  </conditionalFormatting>
  <conditionalFormatting sqref="AF175">
    <cfRule type="endsWith" dxfId="3297" priority="4020" operator="endsWith" text="x">
      <formula>RIGHT(AF175,LEN("x"))="x"</formula>
    </cfRule>
  </conditionalFormatting>
  <conditionalFormatting sqref="AB185:AB186 AD185:AG185 AD186:AH186">
    <cfRule type="endsWith" dxfId="3296" priority="4018" operator="endsWith" text="x">
      <formula>RIGHT(AB185,LEN("x"))="x"</formula>
    </cfRule>
  </conditionalFormatting>
  <conditionalFormatting sqref="AE182 AH182 AB182:AB184 AD183:AG183 AD184:AH184">
    <cfRule type="endsWith" dxfId="3295" priority="4017" operator="endsWith" text="x">
      <formula>RIGHT(AB182,LEN("x"))="x"</formula>
    </cfRule>
  </conditionalFormatting>
  <conditionalFormatting sqref="AD227">
    <cfRule type="endsWith" dxfId="3294" priority="3950" operator="endsWith" text="x">
      <formula>RIGHT(AD227,LEN("x"))="x"</formula>
    </cfRule>
  </conditionalFormatting>
  <conditionalFormatting sqref="AG182">
    <cfRule type="endsWith" dxfId="3293" priority="4016" operator="endsWith" text="x">
      <formula>RIGHT(AG182,LEN("x"))="x"</formula>
    </cfRule>
  </conditionalFormatting>
  <conditionalFormatting sqref="AH183">
    <cfRule type="endsWith" dxfId="3292" priority="4014" operator="endsWith" text="x">
      <formula>RIGHT(AH183,LEN("x"))="x"</formula>
    </cfRule>
  </conditionalFormatting>
  <conditionalFormatting sqref="AH183">
    <cfRule type="endsWith" dxfId="3291" priority="4013" operator="endsWith" text="x">
      <formula>RIGHT(AH183,LEN("x"))="x"</formula>
    </cfRule>
  </conditionalFormatting>
  <conditionalFormatting sqref="AH185">
    <cfRule type="endsWith" dxfId="3290" priority="4012" operator="endsWith" text="x">
      <formula>RIGHT(AH185,LEN("x"))="x"</formula>
    </cfRule>
  </conditionalFormatting>
  <conditionalFormatting sqref="AD176">
    <cfRule type="endsWith" dxfId="3289" priority="4009" operator="endsWith" text="x">
      <formula>RIGHT(AD176,LEN("x"))="x"</formula>
    </cfRule>
  </conditionalFormatting>
  <conditionalFormatting sqref="AD176">
    <cfRule type="endsWith" dxfId="3288" priority="4010" operator="endsWith" text="x">
      <formula>RIGHT(AD176,LEN("x"))="x"</formula>
    </cfRule>
  </conditionalFormatting>
  <conditionalFormatting sqref="AH442">
    <cfRule type="endsWith" dxfId="3287" priority="3863" operator="endsWith" text="x">
      <formula>RIGHT(AH442,LEN("x"))="x"</formula>
    </cfRule>
  </conditionalFormatting>
  <conditionalFormatting sqref="AC221:AC226">
    <cfRule type="endsWith" dxfId="3286" priority="3884" operator="endsWith" text="x">
      <formula>RIGHT(AC221,LEN("x"))="x"</formula>
    </cfRule>
  </conditionalFormatting>
  <conditionalFormatting sqref="AH445">
    <cfRule type="endsWith" dxfId="3285" priority="3865" operator="endsWith" text="x">
      <formula>RIGHT(AH445,LEN("x"))="x"</formula>
    </cfRule>
  </conditionalFormatting>
  <conditionalFormatting sqref="AC223">
    <cfRule type="endsWith" dxfId="3284" priority="3882" operator="endsWith" text="x">
      <formula>RIGHT(AC223,LEN("x"))="x"</formula>
    </cfRule>
  </conditionalFormatting>
  <conditionalFormatting sqref="AC224">
    <cfRule type="endsWith" dxfId="3283" priority="3881" operator="endsWith" text="x">
      <formula>RIGHT(AC224,LEN("x"))="x"</formula>
    </cfRule>
  </conditionalFormatting>
  <conditionalFormatting sqref="AH443 AH441">
    <cfRule type="endsWith" dxfId="3282" priority="3864" operator="endsWith" text="x">
      <formula>RIGHT(AH441,LEN("x"))="x"</formula>
    </cfRule>
  </conditionalFormatting>
  <conditionalFormatting sqref="AH442">
    <cfRule type="endsWith" dxfId="3281" priority="3862" operator="endsWith" text="x">
      <formula>RIGHT(AH442,LEN("x"))="x"</formula>
    </cfRule>
  </conditionalFormatting>
  <conditionalFormatting sqref="AD177">
    <cfRule type="endsWith" dxfId="3280" priority="4008" operator="endsWith" text="x">
      <formula>RIGHT(AD177,LEN("x"))="x"</formula>
    </cfRule>
  </conditionalFormatting>
  <conditionalFormatting sqref="AD177">
    <cfRule type="endsWith" dxfId="3279" priority="4007" operator="endsWith" text="x">
      <formula>RIGHT(AD177,LEN("x"))="x"</formula>
    </cfRule>
  </conditionalFormatting>
  <conditionalFormatting sqref="AD178">
    <cfRule type="endsWith" dxfId="3278" priority="4006" operator="endsWith" text="x">
      <formula>RIGHT(AD178,LEN("x"))="x"</formula>
    </cfRule>
  </conditionalFormatting>
  <conditionalFormatting sqref="AD178">
    <cfRule type="endsWith" dxfId="3277" priority="4005" operator="endsWith" text="x">
      <formula>RIGHT(AD178,LEN("x"))="x"</formula>
    </cfRule>
  </conditionalFormatting>
  <conditionalFormatting sqref="AD179">
    <cfRule type="endsWith" dxfId="3276" priority="4004" operator="endsWith" text="x">
      <formula>RIGHT(AD179,LEN("x"))="x"</formula>
    </cfRule>
  </conditionalFormatting>
  <conditionalFormatting sqref="AD179">
    <cfRule type="endsWith" dxfId="3275" priority="4003" operator="endsWith" text="x">
      <formula>RIGHT(AD179,LEN("x"))="x"</formula>
    </cfRule>
  </conditionalFormatting>
  <conditionalFormatting sqref="AD180">
    <cfRule type="endsWith" dxfId="3274" priority="4002" operator="endsWith" text="x">
      <formula>RIGHT(AD180,LEN("x"))="x"</formula>
    </cfRule>
  </conditionalFormatting>
  <conditionalFormatting sqref="AD180">
    <cfRule type="endsWith" dxfId="3273" priority="4001" operator="endsWith" text="x">
      <formula>RIGHT(AD180,LEN("x"))="x"</formula>
    </cfRule>
  </conditionalFormatting>
  <conditionalFormatting sqref="AD182">
    <cfRule type="endsWith" dxfId="3272" priority="4000" operator="endsWith" text="x">
      <formula>RIGHT(AD182,LEN("x"))="x"</formula>
    </cfRule>
  </conditionalFormatting>
  <conditionalFormatting sqref="AD182">
    <cfRule type="endsWith" dxfId="3271" priority="3999" operator="endsWith" text="x">
      <formula>RIGHT(AD182,LEN("x"))="x"</formula>
    </cfRule>
  </conditionalFormatting>
  <conditionalFormatting sqref="AD190">
    <cfRule type="endsWith" dxfId="3270" priority="3998" operator="endsWith" text="x">
      <formula>RIGHT(AD190,LEN("x"))="x"</formula>
    </cfRule>
  </conditionalFormatting>
  <conditionalFormatting sqref="AD190">
    <cfRule type="endsWith" dxfId="3269" priority="3997" operator="endsWith" text="x">
      <formula>RIGHT(AD190,LEN("x"))="x"</formula>
    </cfRule>
  </conditionalFormatting>
  <conditionalFormatting sqref="AD191">
    <cfRule type="endsWith" dxfId="3268" priority="3996" operator="endsWith" text="x">
      <formula>RIGHT(AD191,LEN("x"))="x"</formula>
    </cfRule>
  </conditionalFormatting>
  <conditionalFormatting sqref="AD191">
    <cfRule type="endsWith" dxfId="3267" priority="3995" operator="endsWith" text="x">
      <formula>RIGHT(AD191,LEN("x"))="x"</formula>
    </cfRule>
  </conditionalFormatting>
  <conditionalFormatting sqref="AD192">
    <cfRule type="endsWith" dxfId="3266" priority="3994" operator="endsWith" text="x">
      <formula>RIGHT(AD192,LEN("x"))="x"</formula>
    </cfRule>
  </conditionalFormatting>
  <conditionalFormatting sqref="AD192">
    <cfRule type="endsWith" dxfId="3265" priority="3993" operator="endsWith" text="x">
      <formula>RIGHT(AD192,LEN("x"))="x"</formula>
    </cfRule>
  </conditionalFormatting>
  <conditionalFormatting sqref="AD193">
    <cfRule type="endsWith" dxfId="3264" priority="3992" operator="endsWith" text="x">
      <formula>RIGHT(AD193,LEN("x"))="x"</formula>
    </cfRule>
  </conditionalFormatting>
  <conditionalFormatting sqref="AD193">
    <cfRule type="endsWith" dxfId="3263" priority="3991" operator="endsWith" text="x">
      <formula>RIGHT(AD193,LEN("x"))="x"</formula>
    </cfRule>
  </conditionalFormatting>
  <conditionalFormatting sqref="AD194">
    <cfRule type="endsWith" dxfId="3262" priority="3990" operator="endsWith" text="x">
      <formula>RIGHT(AD194,LEN("x"))="x"</formula>
    </cfRule>
  </conditionalFormatting>
  <conditionalFormatting sqref="AD194">
    <cfRule type="endsWith" dxfId="3261" priority="3989" operator="endsWith" text="x">
      <formula>RIGHT(AD194,LEN("x"))="x"</formula>
    </cfRule>
  </conditionalFormatting>
  <conditionalFormatting sqref="AD196">
    <cfRule type="endsWith" dxfId="3260" priority="3988" operator="endsWith" text="x">
      <formula>RIGHT(AD196,LEN("x"))="x"</formula>
    </cfRule>
  </conditionalFormatting>
  <conditionalFormatting sqref="AD196">
    <cfRule type="endsWith" dxfId="3259" priority="3987" operator="endsWith" text="x">
      <formula>RIGHT(AD196,LEN("x"))="x"</formula>
    </cfRule>
  </conditionalFormatting>
  <conditionalFormatting sqref="AF190">
    <cfRule type="endsWith" dxfId="3258" priority="3986" operator="endsWith" text="x">
      <formula>RIGHT(AF190,LEN("x"))="x"</formula>
    </cfRule>
  </conditionalFormatting>
  <conditionalFormatting sqref="AF190">
    <cfRule type="endsWith" dxfId="3257" priority="3985" operator="endsWith" text="x">
      <formula>RIGHT(AF190,LEN("x"))="x"</formula>
    </cfRule>
  </conditionalFormatting>
  <conditionalFormatting sqref="AF192">
    <cfRule type="endsWith" dxfId="3256" priority="3981" operator="endsWith" text="x">
      <formula>RIGHT(AF192,LEN("x"))="x"</formula>
    </cfRule>
  </conditionalFormatting>
  <conditionalFormatting sqref="AF193">
    <cfRule type="endsWith" dxfId="3255" priority="3980" operator="endsWith" text="x">
      <formula>RIGHT(AF193,LEN("x"))="x"</formula>
    </cfRule>
  </conditionalFormatting>
  <conditionalFormatting sqref="AF193">
    <cfRule type="endsWith" dxfId="3254" priority="3979" operator="endsWith" text="x">
      <formula>RIGHT(AF193,LEN("x"))="x"</formula>
    </cfRule>
  </conditionalFormatting>
  <conditionalFormatting sqref="AF194">
    <cfRule type="endsWith" dxfId="3253" priority="3978" operator="endsWith" text="x">
      <formula>RIGHT(AF194,LEN("x"))="x"</formula>
    </cfRule>
  </conditionalFormatting>
  <conditionalFormatting sqref="AF194">
    <cfRule type="endsWith" dxfId="3252" priority="3977" operator="endsWith" text="x">
      <formula>RIGHT(AF194,LEN("x"))="x"</formula>
    </cfRule>
  </conditionalFormatting>
  <conditionalFormatting sqref="AF196">
    <cfRule type="endsWith" dxfId="3251" priority="3976" operator="endsWith" text="x">
      <formula>RIGHT(AF196,LEN("x"))="x"</formula>
    </cfRule>
  </conditionalFormatting>
  <conditionalFormatting sqref="AF196">
    <cfRule type="endsWith" dxfId="3250" priority="3975" operator="endsWith" text="x">
      <formula>RIGHT(AF196,LEN("x"))="x"</formula>
    </cfRule>
  </conditionalFormatting>
  <conditionalFormatting sqref="AE191">
    <cfRule type="endsWith" dxfId="3249" priority="3974" operator="endsWith" text="x">
      <formula>RIGHT(AE191,LEN("x"))="x"</formula>
    </cfRule>
  </conditionalFormatting>
  <conditionalFormatting sqref="AE192">
    <cfRule type="endsWith" dxfId="3248" priority="3973" operator="endsWith" text="x">
      <formula>RIGHT(AE192,LEN("x"))="x"</formula>
    </cfRule>
  </conditionalFormatting>
  <conditionalFormatting sqref="AI224:AI225">
    <cfRule type="endsWith" dxfId="3247" priority="3874" operator="endsWith" text="x">
      <formula>RIGHT(AI224,LEN("x"))="x"</formula>
    </cfRule>
  </conditionalFormatting>
  <conditionalFormatting sqref="AE193">
    <cfRule type="endsWith" dxfId="3246" priority="3972" operator="endsWith" text="x">
      <formula>RIGHT(AE193,LEN("x"))="x"</formula>
    </cfRule>
  </conditionalFormatting>
  <conditionalFormatting sqref="AE193">
    <cfRule type="endsWith" dxfId="3245" priority="3971" operator="endsWith" text="x">
      <formula>RIGHT(AE193,LEN("x"))="x"</formula>
    </cfRule>
  </conditionalFormatting>
  <conditionalFormatting sqref="AE194">
    <cfRule type="endsWith" dxfId="3244" priority="3970" operator="endsWith" text="x">
      <formula>RIGHT(AE194,LEN("x"))="x"</formula>
    </cfRule>
  </conditionalFormatting>
  <conditionalFormatting sqref="AG190">
    <cfRule type="endsWith" dxfId="3243" priority="3969" operator="endsWith" text="x">
      <formula>RIGHT(AG190,LEN("x"))="x"</formula>
    </cfRule>
  </conditionalFormatting>
  <conditionalFormatting sqref="AG190">
    <cfRule type="endsWith" dxfId="3242" priority="3968" operator="endsWith" text="x">
      <formula>RIGHT(AG190,LEN("x"))="x"</formula>
    </cfRule>
  </conditionalFormatting>
  <conditionalFormatting sqref="AG191">
    <cfRule type="endsWith" dxfId="3241" priority="3967" operator="endsWith" text="x">
      <formula>RIGHT(AG191,LEN("x"))="x"</formula>
    </cfRule>
  </conditionalFormatting>
  <conditionalFormatting sqref="AG191">
    <cfRule type="endsWith" dxfId="3240" priority="3966" operator="endsWith" text="x">
      <formula>RIGHT(AG191,LEN("x"))="x"</formula>
    </cfRule>
  </conditionalFormatting>
  <conditionalFormatting sqref="AG192">
    <cfRule type="endsWith" dxfId="3239" priority="3965" operator="endsWith" text="x">
      <formula>RIGHT(AG192,LEN("x"))="x"</formula>
    </cfRule>
  </conditionalFormatting>
  <conditionalFormatting sqref="AG192">
    <cfRule type="endsWith" dxfId="3238" priority="3964" operator="endsWith" text="x">
      <formula>RIGHT(AG192,LEN("x"))="x"</formula>
    </cfRule>
  </conditionalFormatting>
  <conditionalFormatting sqref="AG193">
    <cfRule type="endsWith" dxfId="3237" priority="3963" operator="endsWith" text="x">
      <formula>RIGHT(AG193,LEN("x"))="x"</formula>
    </cfRule>
  </conditionalFormatting>
  <conditionalFormatting sqref="AG193">
    <cfRule type="endsWith" dxfId="3236" priority="3962" operator="endsWith" text="x">
      <formula>RIGHT(AG193,LEN("x"))="x"</formula>
    </cfRule>
  </conditionalFormatting>
  <conditionalFormatting sqref="AG194">
    <cfRule type="endsWith" dxfId="3235" priority="3961" operator="endsWith" text="x">
      <formula>RIGHT(AG194,LEN("x"))="x"</formula>
    </cfRule>
  </conditionalFormatting>
  <conditionalFormatting sqref="AD221">
    <cfRule type="endsWith" dxfId="3234" priority="3960" operator="endsWith" text="x">
      <formula>RIGHT(AD221,LEN("x"))="x"</formula>
    </cfRule>
  </conditionalFormatting>
  <conditionalFormatting sqref="AD221">
    <cfRule type="endsWith" dxfId="3233" priority="3959" operator="endsWith" text="x">
      <formula>RIGHT(AD221,LEN("x"))="x"</formula>
    </cfRule>
  </conditionalFormatting>
  <conditionalFormatting sqref="AD222">
    <cfRule type="endsWith" dxfId="3232" priority="3958" operator="endsWith" text="x">
      <formula>RIGHT(AD222,LEN("x"))="x"</formula>
    </cfRule>
  </conditionalFormatting>
  <conditionalFormatting sqref="AD222">
    <cfRule type="endsWith" dxfId="3231" priority="3957" operator="endsWith" text="x">
      <formula>RIGHT(AD222,LEN("x"))="x"</formula>
    </cfRule>
  </conditionalFormatting>
  <conditionalFormatting sqref="AD223">
    <cfRule type="endsWith" dxfId="3230" priority="3956" operator="endsWith" text="x">
      <formula>RIGHT(AD223,LEN("x"))="x"</formula>
    </cfRule>
  </conditionalFormatting>
  <conditionalFormatting sqref="AD223">
    <cfRule type="endsWith" dxfId="3229" priority="3955" operator="endsWith" text="x">
      <formula>RIGHT(AD223,LEN("x"))="x"</formula>
    </cfRule>
  </conditionalFormatting>
  <conditionalFormatting sqref="AD224">
    <cfRule type="endsWith" dxfId="3228" priority="3954" operator="endsWith" text="x">
      <formula>RIGHT(AD224,LEN("x"))="x"</formula>
    </cfRule>
  </conditionalFormatting>
  <conditionalFormatting sqref="AD224">
    <cfRule type="endsWith" dxfId="3227" priority="3953" operator="endsWith" text="x">
      <formula>RIGHT(AD224,LEN("x"))="x"</formula>
    </cfRule>
  </conditionalFormatting>
  <conditionalFormatting sqref="AD225">
    <cfRule type="endsWith" dxfId="3226" priority="3952" operator="endsWith" text="x">
      <formula>RIGHT(AD225,LEN("x"))="x"</formula>
    </cfRule>
  </conditionalFormatting>
  <conditionalFormatting sqref="AD225">
    <cfRule type="endsWith" dxfId="3225" priority="3951" operator="endsWith" text="x">
      <formula>RIGHT(AD225,LEN("x"))="x"</formula>
    </cfRule>
  </conditionalFormatting>
  <conditionalFormatting sqref="AD227">
    <cfRule type="endsWith" dxfId="3224" priority="3949" operator="endsWith" text="x">
      <formula>RIGHT(AD227,LEN("x"))="x"</formula>
    </cfRule>
  </conditionalFormatting>
  <conditionalFormatting sqref="AF221">
    <cfRule type="endsWith" dxfId="3223" priority="3948" operator="endsWith" text="x">
      <formula>RIGHT(AF221,LEN("x"))="x"</formula>
    </cfRule>
  </conditionalFormatting>
  <conditionalFormatting sqref="AF221">
    <cfRule type="endsWith" dxfId="3222" priority="3947" operator="endsWith" text="x">
      <formula>RIGHT(AF221,LEN("x"))="x"</formula>
    </cfRule>
  </conditionalFormatting>
  <conditionalFormatting sqref="AF222">
    <cfRule type="endsWith" dxfId="3221" priority="3946" operator="endsWith" text="x">
      <formula>RIGHT(AF222,LEN("x"))="x"</formula>
    </cfRule>
  </conditionalFormatting>
  <conditionalFormatting sqref="AF222">
    <cfRule type="endsWith" dxfId="3220" priority="3945" operator="endsWith" text="x">
      <formula>RIGHT(AF222,LEN("x"))="x"</formula>
    </cfRule>
  </conditionalFormatting>
  <conditionalFormatting sqref="AF223">
    <cfRule type="endsWith" dxfId="3219" priority="3944" operator="endsWith" text="x">
      <formula>RIGHT(AF223,LEN("x"))="x"</formula>
    </cfRule>
  </conditionalFormatting>
  <conditionalFormatting sqref="AF223">
    <cfRule type="endsWith" dxfId="3218" priority="3943" operator="endsWith" text="x">
      <formula>RIGHT(AF223,LEN("x"))="x"</formula>
    </cfRule>
  </conditionalFormatting>
  <conditionalFormatting sqref="AF224">
    <cfRule type="endsWith" dxfId="3217" priority="3942" operator="endsWith" text="x">
      <formula>RIGHT(AF224,LEN("x"))="x"</formula>
    </cfRule>
  </conditionalFormatting>
  <conditionalFormatting sqref="AF224">
    <cfRule type="endsWith" dxfId="3216" priority="3941" operator="endsWith" text="x">
      <formula>RIGHT(AF224,LEN("x"))="x"</formula>
    </cfRule>
  </conditionalFormatting>
  <conditionalFormatting sqref="AF225">
    <cfRule type="endsWith" dxfId="3215" priority="3940" operator="endsWith" text="x">
      <formula>RIGHT(AF225,LEN("x"))="x"</formula>
    </cfRule>
  </conditionalFormatting>
  <conditionalFormatting sqref="AF225">
    <cfRule type="endsWith" dxfId="3214" priority="3939" operator="endsWith" text="x">
      <formula>RIGHT(AF225,LEN("x"))="x"</formula>
    </cfRule>
  </conditionalFormatting>
  <conditionalFormatting sqref="AF227">
    <cfRule type="endsWith" dxfId="3213" priority="3938" operator="endsWith" text="x">
      <formula>RIGHT(AF227,LEN("x"))="x"</formula>
    </cfRule>
  </conditionalFormatting>
  <conditionalFormatting sqref="AL221">
    <cfRule type="endsWith" dxfId="3212" priority="3875" operator="endsWith" text="x">
      <formula>RIGHT(AL221,LEN("x"))="x"</formula>
    </cfRule>
  </conditionalFormatting>
  <conditionalFormatting sqref="AH190:AH194">
    <cfRule type="endsWith" dxfId="3211" priority="3908" operator="endsWith" text="x">
      <formula>RIGHT(AH190,LEN("x"))="x"</formula>
    </cfRule>
  </conditionalFormatting>
  <conditionalFormatting sqref="AH191">
    <cfRule type="endsWith" dxfId="3210" priority="3907" operator="endsWith" text="x">
      <formula>RIGHT(AH191,LEN("x"))="x"</formula>
    </cfRule>
  </conditionalFormatting>
  <conditionalFormatting sqref="AH193">
    <cfRule type="endsWith" dxfId="3209" priority="3906" operator="endsWith" text="x">
      <formula>RIGHT(AH193,LEN("x"))="x"</formula>
    </cfRule>
  </conditionalFormatting>
  <conditionalFormatting sqref="AH198 AH196 AH200">
    <cfRule type="endsWith" dxfId="3208" priority="3905" operator="endsWith" text="x">
      <formula>RIGHT(AH196,LEN("x"))="x"</formula>
    </cfRule>
  </conditionalFormatting>
  <conditionalFormatting sqref="AH200">
    <cfRule type="endsWith" dxfId="3207" priority="3904" operator="endsWith" text="x">
      <formula>RIGHT(AH200,LEN("x"))="x"</formula>
    </cfRule>
  </conditionalFormatting>
  <conditionalFormatting sqref="AH198 AH196">
    <cfRule type="endsWith" dxfId="3206" priority="3903" operator="endsWith" text="x">
      <formula>RIGHT(AH196,LEN("x"))="x"</formula>
    </cfRule>
  </conditionalFormatting>
  <conditionalFormatting sqref="AH197">
    <cfRule type="endsWith" dxfId="3205" priority="3902" operator="endsWith" text="x">
      <formula>RIGHT(AH197,LEN("x"))="x"</formula>
    </cfRule>
  </conditionalFormatting>
  <conditionalFormatting sqref="AH197">
    <cfRule type="endsWith" dxfId="3204" priority="3901" operator="endsWith" text="x">
      <formula>RIGHT(AH197,LEN("x"))="x"</formula>
    </cfRule>
  </conditionalFormatting>
  <conditionalFormatting sqref="AH199">
    <cfRule type="endsWith" dxfId="3203" priority="3900" operator="endsWith" text="x">
      <formula>RIGHT(AH199,LEN("x"))="x"</formula>
    </cfRule>
  </conditionalFormatting>
  <conditionalFormatting sqref="AH199">
    <cfRule type="endsWith" dxfId="3202" priority="3899" operator="endsWith" text="x">
      <formula>RIGHT(AH199,LEN("x"))="x"</formula>
    </cfRule>
  </conditionalFormatting>
  <conditionalFormatting sqref="AH221:AH225">
    <cfRule type="endsWith" dxfId="3201" priority="3898" operator="endsWith" text="x">
      <formula>RIGHT(AH221,LEN("x"))="x"</formula>
    </cfRule>
  </conditionalFormatting>
  <conditionalFormatting sqref="AH222">
    <cfRule type="endsWith" dxfId="3200" priority="3897" operator="endsWith" text="x">
      <formula>RIGHT(AH222,LEN("x"))="x"</formula>
    </cfRule>
  </conditionalFormatting>
  <conditionalFormatting sqref="AH224">
    <cfRule type="endsWith" dxfId="3199" priority="3896" operator="endsWith" text="x">
      <formula>RIGHT(AH224,LEN("x"))="x"</formula>
    </cfRule>
  </conditionalFormatting>
  <conditionalFormatting sqref="AH229 AH227 AH231">
    <cfRule type="endsWith" dxfId="3198" priority="3895" operator="endsWith" text="x">
      <formula>RIGHT(AH227,LEN("x"))="x"</formula>
    </cfRule>
  </conditionalFormatting>
  <conditionalFormatting sqref="AH231">
    <cfRule type="endsWith" dxfId="3197" priority="3894" operator="endsWith" text="x">
      <formula>RIGHT(AH231,LEN("x"))="x"</formula>
    </cfRule>
  </conditionalFormatting>
  <conditionalFormatting sqref="AH229 AH227">
    <cfRule type="endsWith" dxfId="3196" priority="3893" operator="endsWith" text="x">
      <formula>RIGHT(AH227,LEN("x"))="x"</formula>
    </cfRule>
  </conditionalFormatting>
  <conditionalFormatting sqref="AH228">
    <cfRule type="endsWith" dxfId="3195" priority="3892" operator="endsWith" text="x">
      <formula>RIGHT(AH228,LEN("x"))="x"</formula>
    </cfRule>
  </conditionalFormatting>
  <conditionalFormatting sqref="AH228">
    <cfRule type="endsWith" dxfId="3194" priority="3891" operator="endsWith" text="x">
      <formula>RIGHT(AH228,LEN("x"))="x"</formula>
    </cfRule>
  </conditionalFormatting>
  <conditionalFormatting sqref="AH230">
    <cfRule type="endsWith" dxfId="3193" priority="3890" operator="endsWith" text="x">
      <formula>RIGHT(AH230,LEN("x"))="x"</formula>
    </cfRule>
  </conditionalFormatting>
  <conditionalFormatting sqref="AH230">
    <cfRule type="endsWith" dxfId="3192" priority="3889" operator="endsWith" text="x">
      <formula>RIGHT(AH230,LEN("x"))="x"</formula>
    </cfRule>
  </conditionalFormatting>
  <conditionalFormatting sqref="AC190:AC195">
    <cfRule type="endsWith" dxfId="3191" priority="3888" operator="endsWith" text="x">
      <formula>RIGHT(AC190,LEN("x"))="x"</formula>
    </cfRule>
  </conditionalFormatting>
  <conditionalFormatting sqref="AC191">
    <cfRule type="endsWith" dxfId="3190" priority="3887" operator="endsWith" text="x">
      <formula>RIGHT(AC191,LEN("x"))="x"</formula>
    </cfRule>
  </conditionalFormatting>
  <conditionalFormatting sqref="AC192">
    <cfRule type="endsWith" dxfId="3189" priority="3886" operator="endsWith" text="x">
      <formula>RIGHT(AC192,LEN("x"))="x"</formula>
    </cfRule>
  </conditionalFormatting>
  <conditionalFormatting sqref="AC193">
    <cfRule type="endsWith" dxfId="3188" priority="3885" operator="endsWith" text="x">
      <formula>RIGHT(AC193,LEN("x"))="x"</formula>
    </cfRule>
  </conditionalFormatting>
  <conditionalFormatting sqref="AH444">
    <cfRule type="endsWith" dxfId="3187" priority="3861" operator="endsWith" text="x">
      <formula>RIGHT(AH444,LEN("x"))="x"</formula>
    </cfRule>
  </conditionalFormatting>
  <conditionalFormatting sqref="AC222">
    <cfRule type="endsWith" dxfId="3186" priority="3883" operator="endsWith" text="x">
      <formula>RIGHT(AC222,LEN("x"))="x"</formula>
    </cfRule>
  </conditionalFormatting>
  <conditionalFormatting sqref="AI175:AL180">
    <cfRule type="endsWith" dxfId="3185" priority="3880" operator="endsWith" text="x">
      <formula>RIGHT(AI175,LEN("x"))="x"</formula>
    </cfRule>
  </conditionalFormatting>
  <conditionalFormatting sqref="AL176">
    <cfRule type="endsWith" dxfId="3184" priority="3879" operator="endsWith" text="x">
      <formula>RIGHT(AL176,LEN("x"))="x"</formula>
    </cfRule>
  </conditionalFormatting>
  <conditionalFormatting sqref="AI189:AL194">
    <cfRule type="endsWith" dxfId="3183" priority="3878" operator="endsWith" text="x">
      <formula>RIGHT(AI189,LEN("x"))="x"</formula>
    </cfRule>
  </conditionalFormatting>
  <conditionalFormatting sqref="AL190">
    <cfRule type="endsWith" dxfId="3182" priority="3877" operator="endsWith" text="x">
      <formula>RIGHT(AL190,LEN("x"))="x"</formula>
    </cfRule>
  </conditionalFormatting>
  <conditionalFormatting sqref="AI220:AL223">
    <cfRule type="endsWith" dxfId="3181" priority="3876" operator="endsWith" text="x">
      <formula>RIGHT(AI220,LEN("x"))="x"</formula>
    </cfRule>
  </conditionalFormatting>
  <conditionalFormatting sqref="AB441:AB445">
    <cfRule type="endsWith" dxfId="3180" priority="3873" operator="endsWith" text="x">
      <formula>RIGHT(AB441,LEN("x"))="x"</formula>
    </cfRule>
  </conditionalFormatting>
  <conditionalFormatting sqref="AB444:AB445">
    <cfRule type="endsWith" dxfId="3179" priority="3872" operator="endsWith" text="x">
      <formula>RIGHT(AB444,LEN("x"))="x"</formula>
    </cfRule>
  </conditionalFormatting>
  <conditionalFormatting sqref="AB441:AB443">
    <cfRule type="endsWith" dxfId="3178" priority="3871" operator="endsWith" text="x">
      <formula>RIGHT(AB441,LEN("x"))="x"</formula>
    </cfRule>
  </conditionalFormatting>
  <conditionalFormatting sqref="AE441">
    <cfRule type="endsWith" dxfId="3177" priority="3870" operator="endsWith" text="x">
      <formula>RIGHT(AE441,LEN("x"))="x"</formula>
    </cfRule>
  </conditionalFormatting>
  <conditionalFormatting sqref="AE441">
    <cfRule type="endsWith" dxfId="3176" priority="3869" operator="endsWith" text="x">
      <formula>RIGHT(AE441,LEN("x"))="x"</formula>
    </cfRule>
  </conditionalFormatting>
  <conditionalFormatting sqref="AG441">
    <cfRule type="endsWith" dxfId="3175" priority="3868" operator="endsWith" text="x">
      <formula>RIGHT(AG441,LEN("x"))="x"</formula>
    </cfRule>
  </conditionalFormatting>
  <conditionalFormatting sqref="AG441">
    <cfRule type="endsWith" dxfId="3174" priority="3867" operator="endsWith" text="x">
      <formula>RIGHT(AG441,LEN("x"))="x"</formula>
    </cfRule>
  </conditionalFormatting>
  <conditionalFormatting sqref="AF177">
    <cfRule type="endsWith" dxfId="3173" priority="3854" operator="endsWith" text="x">
      <formula>RIGHT(AF177,LEN("x"))="x"</formula>
    </cfRule>
  </conditionalFormatting>
  <conditionalFormatting sqref="AF176">
    <cfRule type="endsWith" dxfId="3172" priority="3855" operator="endsWith" text="x">
      <formula>RIGHT(AF176,LEN("x"))="x"</formula>
    </cfRule>
  </conditionalFormatting>
  <conditionalFormatting sqref="AF178">
    <cfRule type="endsWith" dxfId="3171" priority="3853" operator="endsWith" text="x">
      <formula>RIGHT(AF178,LEN("x"))="x"</formula>
    </cfRule>
  </conditionalFormatting>
  <conditionalFormatting sqref="AI440:AI441">
    <cfRule type="endsWith" dxfId="3170" priority="3859" operator="endsWith" text="x">
      <formula>RIGHT(AI440,LEN("x"))="x"</formula>
    </cfRule>
  </conditionalFormatting>
  <conditionalFormatting sqref="AD438">
    <cfRule type="endsWith" dxfId="3169" priority="3836" operator="endsWith" text="x">
      <formula>RIGHT(AD438,LEN("x"))="x"</formula>
    </cfRule>
  </conditionalFormatting>
  <conditionalFormatting sqref="AH443 AH441 AH445">
    <cfRule type="endsWith" dxfId="3168" priority="3866" operator="endsWith" text="x">
      <formula>RIGHT(AH441,LEN("x"))="x"</formula>
    </cfRule>
  </conditionalFormatting>
  <conditionalFormatting sqref="AH444">
    <cfRule type="endsWith" dxfId="3167" priority="3860" operator="endsWith" text="x">
      <formula>RIGHT(AH444,LEN("x"))="x"</formula>
    </cfRule>
  </conditionalFormatting>
  <conditionalFormatting sqref="AI436:AL436">
    <cfRule type="endsWith" dxfId="3166" priority="3857" operator="endsWith" text="x">
      <formula>RIGHT(AI436,LEN("x"))="x"</formula>
    </cfRule>
  </conditionalFormatting>
  <conditionalFormatting sqref="AB436:AL436">
    <cfRule type="endsWith" dxfId="3165" priority="3858" operator="endsWith" text="x">
      <formula>RIGHT(AB436,LEN("x"))="x"</formula>
    </cfRule>
  </conditionalFormatting>
  <conditionalFormatting sqref="AF436">
    <cfRule type="endsWith" dxfId="3164" priority="3856" operator="endsWith" text="x">
      <formula>RIGHT(AF436,LEN("x"))="x"</formula>
    </cfRule>
  </conditionalFormatting>
  <conditionalFormatting sqref="AD441">
    <cfRule type="endsWith" dxfId="3163" priority="3834" operator="endsWith" text="x">
      <formula>RIGHT(AD441,LEN("x"))="x"</formula>
    </cfRule>
  </conditionalFormatting>
  <conditionalFormatting sqref="AF437">
    <cfRule type="endsWith" dxfId="3162" priority="3833" operator="endsWith" text="x">
      <formula>RIGHT(AF437,LEN("x"))="x"</formula>
    </cfRule>
  </conditionalFormatting>
  <conditionalFormatting sqref="AF439">
    <cfRule type="endsWith" dxfId="3161" priority="3831" operator="endsWith" text="x">
      <formula>RIGHT(AF439,LEN("x"))="x"</formula>
    </cfRule>
  </conditionalFormatting>
  <conditionalFormatting sqref="AF441">
    <cfRule type="endsWith" dxfId="3160" priority="3830" operator="endsWith" text="x">
      <formula>RIGHT(AF441,LEN("x"))="x"</formula>
    </cfRule>
  </conditionalFormatting>
  <conditionalFormatting sqref="AB340:AC342 AE340:AE342 AG340:AL342">
    <cfRule type="endsWith" dxfId="3159" priority="3828" operator="endsWith" text="x">
      <formula>RIGHT(AB340,LEN("x"))="x"</formula>
    </cfRule>
  </conditionalFormatting>
  <conditionalFormatting sqref="AD409">
    <cfRule type="endsWith" dxfId="3158" priority="3786" operator="endsWith" text="x">
      <formula>RIGHT(AD409,LEN("x"))="x"</formula>
    </cfRule>
  </conditionalFormatting>
  <conditionalFormatting sqref="AB406:AL406">
    <cfRule type="endsWith" dxfId="3157" priority="3796" operator="endsWith" text="x">
      <formula>RIGHT(AB406,LEN("x"))="x"</formula>
    </cfRule>
  </conditionalFormatting>
  <conditionalFormatting sqref="AB424:AL424">
    <cfRule type="endsWith" dxfId="3156" priority="3784" operator="endsWith" text="x">
      <formula>RIGHT(AB424,LEN("x"))="x"</formula>
    </cfRule>
  </conditionalFormatting>
  <conditionalFormatting sqref="AF342">
    <cfRule type="endsWith" dxfId="3155" priority="3811" operator="endsWith" text="x">
      <formula>RIGHT(AF342,LEN("x"))="x"</formula>
    </cfRule>
  </conditionalFormatting>
  <conditionalFormatting sqref="AF341">
    <cfRule type="endsWith" dxfId="3154" priority="3812" operator="endsWith" text="x">
      <formula>RIGHT(AF341,LEN("x"))="x"</formula>
    </cfRule>
  </conditionalFormatting>
  <conditionalFormatting sqref="AD342">
    <cfRule type="endsWith" dxfId="3153" priority="3803" operator="endsWith" text="x">
      <formula>RIGHT(AD342,LEN("x"))="x"</formula>
    </cfRule>
  </conditionalFormatting>
  <conditionalFormatting sqref="AD400:AD401">
    <cfRule type="endsWith" dxfId="3152" priority="3802" operator="endsWith" text="x">
      <formula>RIGHT(AD400,LEN("x"))="x"</formula>
    </cfRule>
  </conditionalFormatting>
  <conditionalFormatting sqref="AB407:AC407 AE407:AE409 AC408:AC409 AG407:AL409">
    <cfRule type="endsWith" dxfId="3151" priority="3793" operator="endsWith" text="x">
      <formula>RIGHT(AB407,LEN("x"))="x"</formula>
    </cfRule>
  </conditionalFormatting>
  <conditionalFormatting sqref="AF406">
    <cfRule type="endsWith" dxfId="3150" priority="3794" operator="endsWith" text="x">
      <formula>RIGHT(AF406,LEN("x"))="x"</formula>
    </cfRule>
  </conditionalFormatting>
  <conditionalFormatting sqref="AL407">
    <cfRule type="endsWith" dxfId="3149" priority="3791" operator="endsWith" text="x">
      <formula>RIGHT(AL407,LEN("x"))="x"</formula>
    </cfRule>
  </conditionalFormatting>
  <conditionalFormatting sqref="AI407:AK407 AI408:AL409">
    <cfRule type="endsWith" dxfId="3148" priority="3792" operator="endsWith" text="x">
      <formula>RIGHT(AI407,LEN("x"))="x"</formula>
    </cfRule>
  </conditionalFormatting>
  <conditionalFormatting sqref="AF179">
    <cfRule type="endsWith" dxfId="3147" priority="3852" operator="endsWith" text="x">
      <formula>RIGHT(AF179,LEN("x"))="x"</formula>
    </cfRule>
  </conditionalFormatting>
  <conditionalFormatting sqref="AF180">
    <cfRule type="endsWith" dxfId="3146" priority="3851" operator="endsWith" text="x">
      <formula>RIGHT(AF180,LEN("x"))="x"</formula>
    </cfRule>
  </conditionalFormatting>
  <conditionalFormatting sqref="AF182">
    <cfRule type="endsWith" dxfId="3145" priority="3850" operator="endsWith" text="x">
      <formula>RIGHT(AF182,LEN("x"))="x"</formula>
    </cfRule>
  </conditionalFormatting>
  <conditionalFormatting sqref="AB339:AL339">
    <cfRule type="endsWith" dxfId="3144" priority="3849" operator="endsWith" text="x">
      <formula>RIGHT(AB339,LEN("x"))="x"</formula>
    </cfRule>
  </conditionalFormatting>
  <conditionalFormatting sqref="AI339:AL339">
    <cfRule type="endsWith" dxfId="3143" priority="3848" operator="endsWith" text="x">
      <formula>RIGHT(AI339,LEN("x"))="x"</formula>
    </cfRule>
  </conditionalFormatting>
  <conditionalFormatting sqref="AF339">
    <cfRule type="endsWith" dxfId="3142" priority="3847" operator="endsWith" text="x">
      <formula>RIGHT(AF339,LEN("x"))="x"</formula>
    </cfRule>
  </conditionalFormatting>
  <conditionalFormatting sqref="AF433">
    <cfRule type="endsWith" dxfId="3141" priority="3808" operator="endsWith" text="x">
      <formula>RIGHT(AF433,LEN("x"))="x"</formula>
    </cfRule>
  </conditionalFormatting>
  <conditionalFormatting sqref="AB430:AL430">
    <cfRule type="endsWith" dxfId="3140" priority="3846" operator="endsWith" text="x">
      <formula>RIGHT(AB430,LEN("x"))="x"</formula>
    </cfRule>
  </conditionalFormatting>
  <conditionalFormatting sqref="AI430:AL430">
    <cfRule type="endsWith" dxfId="3139" priority="3845" operator="endsWith" text="x">
      <formula>RIGHT(AI430,LEN("x"))="x"</formula>
    </cfRule>
  </conditionalFormatting>
  <conditionalFormatting sqref="AF430">
    <cfRule type="endsWith" dxfId="3138" priority="3844" operator="endsWith" text="x">
      <formula>RIGHT(AF430,LEN("x"))="x"</formula>
    </cfRule>
  </conditionalFormatting>
  <conditionalFormatting sqref="AD341">
    <cfRule type="endsWith" dxfId="3137" priority="3804" operator="endsWith" text="x">
      <formula>RIGHT(AD341,LEN("x"))="x"</formula>
    </cfRule>
  </conditionalFormatting>
  <conditionalFormatting sqref="AB399:AL399">
    <cfRule type="endsWith" dxfId="3136" priority="3843" operator="endsWith" text="x">
      <formula>RIGHT(AB399,LEN("x"))="x"</formula>
    </cfRule>
  </conditionalFormatting>
  <conditionalFormatting sqref="AI399:AL399">
    <cfRule type="endsWith" dxfId="3135" priority="3842" operator="endsWith" text="x">
      <formula>RIGHT(AI399,LEN("x"))="x"</formula>
    </cfRule>
  </conditionalFormatting>
  <conditionalFormatting sqref="AF399">
    <cfRule type="endsWith" dxfId="3134" priority="3841" operator="endsWith" text="x">
      <formula>RIGHT(AF399,LEN("x"))="x"</formula>
    </cfRule>
  </conditionalFormatting>
  <conditionalFormatting sqref="AD403">
    <cfRule type="endsWith" dxfId="3133" priority="3800" operator="endsWith" text="x">
      <formula>RIGHT(AD403,LEN("x"))="x"</formula>
    </cfRule>
  </conditionalFormatting>
  <conditionalFormatting sqref="AF400:AF401">
    <cfRule type="endsWith" dxfId="3132" priority="3799" operator="endsWith" text="x">
      <formula>RIGHT(AF400,LEN("x"))="x"</formula>
    </cfRule>
  </conditionalFormatting>
  <conditionalFormatting sqref="AF402">
    <cfRule type="endsWith" dxfId="3131" priority="3798" operator="endsWith" text="x">
      <formula>RIGHT(AF402,LEN("x"))="x"</formula>
    </cfRule>
  </conditionalFormatting>
  <conditionalFormatting sqref="AF403">
    <cfRule type="endsWith" dxfId="3130" priority="3797" operator="endsWith" text="x">
      <formula>RIGHT(AF403,LEN("x"))="x"</formula>
    </cfRule>
  </conditionalFormatting>
  <conditionalFormatting sqref="AI406:AL406">
    <cfRule type="endsWith" dxfId="3129" priority="3795" operator="endsWith" text="x">
      <formula>RIGHT(AI406,LEN("x"))="x"</formula>
    </cfRule>
  </conditionalFormatting>
  <conditionalFormatting sqref="AF407">
    <cfRule type="endsWith" dxfId="3128" priority="3785" operator="endsWith" text="x">
      <formula>RIGHT(AF407,LEN("x"))="x"</formula>
    </cfRule>
  </conditionalFormatting>
  <conditionalFormatting sqref="AF432">
    <cfRule type="endsWith" dxfId="3127" priority="3809" operator="endsWith" text="x">
      <formula>RIGHT(AF432,LEN("x"))="x"</formula>
    </cfRule>
  </conditionalFormatting>
  <conditionalFormatting sqref="AB437:AC439 AE437:AE439 AD439 AF439 AG437:AL439">
    <cfRule type="endsWith" dxfId="3126" priority="3840" operator="endsWith" text="x">
      <formula>RIGHT(AB437,LEN("x"))="x"</formula>
    </cfRule>
  </conditionalFormatting>
  <conditionalFormatting sqref="AI437:AK437 AI438:AL439">
    <cfRule type="endsWith" dxfId="3125" priority="3839" operator="endsWith" text="x">
      <formula>RIGHT(AI437,LEN("x"))="x"</formula>
    </cfRule>
  </conditionalFormatting>
  <conditionalFormatting sqref="AL437">
    <cfRule type="endsWith" dxfId="3124" priority="3838" operator="endsWith" text="x">
      <formula>RIGHT(AL437,LEN("x"))="x"</formula>
    </cfRule>
  </conditionalFormatting>
  <conditionalFormatting sqref="AD437">
    <cfRule type="endsWith" dxfId="3123" priority="3837" operator="endsWith" text="x">
      <formula>RIGHT(AD437,LEN("x"))="x"</formula>
    </cfRule>
  </conditionalFormatting>
  <conditionalFormatting sqref="AD439">
    <cfRule type="endsWith" dxfId="3122" priority="3835" operator="endsWith" text="x">
      <formula>RIGHT(AD439,LEN("x"))="x"</formula>
    </cfRule>
  </conditionalFormatting>
  <conditionalFormatting sqref="AF438">
    <cfRule type="endsWith" dxfId="3121" priority="3832" operator="endsWith" text="x">
      <formula>RIGHT(AF438,LEN("x"))="x"</formula>
    </cfRule>
  </conditionalFormatting>
  <conditionalFormatting sqref="AH439">
    <cfRule type="endsWith" dxfId="3120" priority="3829" operator="endsWith" text="x">
      <formula>RIGHT(AH439,LEN("x"))="x"</formula>
    </cfRule>
  </conditionalFormatting>
  <conditionalFormatting sqref="AI340:AK340 AI341:AL342">
    <cfRule type="endsWith" dxfId="3119" priority="3827" operator="endsWith" text="x">
      <formula>RIGHT(AI340,LEN("x"))="x"</formula>
    </cfRule>
  </conditionalFormatting>
  <conditionalFormatting sqref="AL340">
    <cfRule type="endsWith" dxfId="3118" priority="3826" operator="endsWith" text="x">
      <formula>RIGHT(AL340,LEN("x"))="x"</formula>
    </cfRule>
  </conditionalFormatting>
  <conditionalFormatting sqref="AH342">
    <cfRule type="endsWith" dxfId="3117" priority="3825" operator="endsWith" text="x">
      <formula>RIGHT(AH342,LEN("x"))="x"</formula>
    </cfRule>
  </conditionalFormatting>
  <conditionalFormatting sqref="AB431:AC431 AE431:AE433 AG431:AL433 AC432:AC433">
    <cfRule type="endsWith" dxfId="3116" priority="3824" operator="endsWith" text="x">
      <formula>RIGHT(AB431,LEN("x"))="x"</formula>
    </cfRule>
  </conditionalFormatting>
  <conditionalFormatting sqref="AL431">
    <cfRule type="endsWith" dxfId="3115" priority="3822" operator="endsWith" text="x">
      <formula>RIGHT(AL431,LEN("x"))="x"</formula>
    </cfRule>
  </conditionalFormatting>
  <conditionalFormatting sqref="AH433">
    <cfRule type="endsWith" dxfId="3114" priority="3821" operator="endsWith" text="x">
      <formula>RIGHT(AH433,LEN("x"))="x"</formula>
    </cfRule>
  </conditionalFormatting>
  <conditionalFormatting sqref="AB400:AC401 AE400:AE403 AG400:AL403 AC402:AC403">
    <cfRule type="endsWith" dxfId="3113" priority="3820" operator="endsWith" text="x">
      <formula>RIGHT(AB400,LEN("x"))="x"</formula>
    </cfRule>
  </conditionalFormatting>
  <conditionalFormatting sqref="AI400:AK401 AI402:AL403">
    <cfRule type="endsWith" dxfId="3112" priority="3819" operator="endsWith" text="x">
      <formula>RIGHT(AI400,LEN("x"))="x"</formula>
    </cfRule>
  </conditionalFormatting>
  <conditionalFormatting sqref="AL400:AL401">
    <cfRule type="endsWith" dxfId="3111" priority="3818" operator="endsWith" text="x">
      <formula>RIGHT(AL400,LEN("x"))="x"</formula>
    </cfRule>
  </conditionalFormatting>
  <conditionalFormatting sqref="AH403">
    <cfRule type="endsWith" dxfId="3110" priority="3817" operator="endsWith" text="x">
      <formula>RIGHT(AH403,LEN("x"))="x"</formula>
    </cfRule>
  </conditionalFormatting>
  <conditionalFormatting sqref="AD402">
    <cfRule type="endsWith" dxfId="3109" priority="3801" operator="endsWith" text="x">
      <formula>RIGHT(AD402,LEN("x"))="x"</formula>
    </cfRule>
  </conditionalFormatting>
  <conditionalFormatting sqref="AH409">
    <cfRule type="endsWith" dxfId="3108" priority="3790" operator="endsWith" text="x">
      <formula>RIGHT(AH409,LEN("x"))="x"</formula>
    </cfRule>
  </conditionalFormatting>
  <conditionalFormatting sqref="AB408:AB409">
    <cfRule type="endsWith" dxfId="3107" priority="3789" operator="endsWith" text="x">
      <formula>RIGHT(AB408,LEN("x"))="x"</formula>
    </cfRule>
  </conditionalFormatting>
  <conditionalFormatting sqref="AD407">
    <cfRule type="endsWith" dxfId="3106" priority="3788" operator="endsWith" text="x">
      <formula>RIGHT(AD407,LEN("x"))="x"</formula>
    </cfRule>
  </conditionalFormatting>
  <conditionalFormatting sqref="AD408">
    <cfRule type="endsWith" dxfId="3105" priority="3787" operator="endsWith" text="x">
      <formula>RIGHT(AD408,LEN("x"))="x"</formula>
    </cfRule>
  </conditionalFormatting>
  <conditionalFormatting sqref="AD346">
    <cfRule type="endsWith" dxfId="3104" priority="3736" operator="endsWith" text="x">
      <formula>RIGHT(AD346,LEN("x"))="x"</formula>
    </cfRule>
  </conditionalFormatting>
  <conditionalFormatting sqref="AL346">
    <cfRule type="endsWith" dxfId="3103" priority="3739" operator="endsWith" text="x">
      <formula>RIGHT(AL346,LEN("x"))="x"</formula>
    </cfRule>
  </conditionalFormatting>
  <conditionalFormatting sqref="AB425:AC425 AE425:AE427 AG425:AL427 AC426:AC427">
    <cfRule type="endsWith" dxfId="3102" priority="3781" operator="endsWith" text="x">
      <formula>RIGHT(AB425,LEN("x"))="x"</formula>
    </cfRule>
  </conditionalFormatting>
  <conditionalFormatting sqref="AF424">
    <cfRule type="endsWith" dxfId="3101" priority="3782" operator="endsWith" text="x">
      <formula>RIGHT(AF424,LEN("x"))="x"</formula>
    </cfRule>
  </conditionalFormatting>
  <conditionalFormatting sqref="AL425">
    <cfRule type="endsWith" dxfId="3100" priority="3779" operator="endsWith" text="x">
      <formula>RIGHT(AL425,LEN("x"))="x"</formula>
    </cfRule>
  </conditionalFormatting>
  <conditionalFormatting sqref="AI425:AK425 AI426:AL427">
    <cfRule type="endsWith" dxfId="3099" priority="3780" operator="endsWith" text="x">
      <formula>RIGHT(AI425,LEN("x"))="x"</formula>
    </cfRule>
  </conditionalFormatting>
  <conditionalFormatting sqref="AH348">
    <cfRule type="endsWith" dxfId="3098" priority="3738" operator="endsWith" text="x">
      <formula>RIGHT(AH348,LEN("x"))="x"</formula>
    </cfRule>
  </conditionalFormatting>
  <conditionalFormatting sqref="AI424:AL424">
    <cfRule type="endsWith" dxfId="3097" priority="3783" operator="endsWith" text="x">
      <formula>RIGHT(AI424,LEN("x"))="x"</formula>
    </cfRule>
  </conditionalFormatting>
  <conditionalFormatting sqref="AB347:AB348">
    <cfRule type="endsWith" dxfId="3096" priority="3737" operator="endsWith" text="x">
      <formula>RIGHT(AB347,LEN("x"))="x"</formula>
    </cfRule>
  </conditionalFormatting>
  <conditionalFormatting sqref="AH427">
    <cfRule type="endsWith" dxfId="3095" priority="3778" operator="endsWith" text="x">
      <formula>RIGHT(AH427,LEN("x"))="x"</formula>
    </cfRule>
  </conditionalFormatting>
  <conditionalFormatting sqref="AB426:AB427">
    <cfRule type="endsWith" dxfId="3094" priority="3777" operator="endsWith" text="x">
      <formula>RIGHT(AB426,LEN("x"))="x"</formula>
    </cfRule>
  </conditionalFormatting>
  <conditionalFormatting sqref="AD348">
    <cfRule type="endsWith" dxfId="3093" priority="3734" operator="endsWith" text="x">
      <formula>RIGHT(AD348,LEN("x"))="x"</formula>
    </cfRule>
  </conditionalFormatting>
  <conditionalFormatting sqref="AD347">
    <cfRule type="endsWith" dxfId="3092" priority="3735" operator="endsWith" text="x">
      <formula>RIGHT(AD347,LEN("x"))="x"</formula>
    </cfRule>
  </conditionalFormatting>
  <conditionalFormatting sqref="AD425">
    <cfRule type="endsWith" dxfId="3091" priority="3776" operator="endsWith" text="x">
      <formula>RIGHT(AD425,LEN("x"))="x"</formula>
    </cfRule>
  </conditionalFormatting>
  <conditionalFormatting sqref="AD425">
    <cfRule type="endsWith" dxfId="3090" priority="3775" operator="endsWith" text="x">
      <formula>RIGHT(AD425,LEN("x"))="x"</formula>
    </cfRule>
  </conditionalFormatting>
  <conditionalFormatting sqref="AD426">
    <cfRule type="endsWith" dxfId="3089" priority="3774" operator="endsWith" text="x">
      <formula>RIGHT(AD426,LEN("x"))="x"</formula>
    </cfRule>
  </conditionalFormatting>
  <conditionalFormatting sqref="AD426">
    <cfRule type="endsWith" dxfId="3088" priority="3773" operator="endsWith" text="x">
      <formula>RIGHT(AD426,LEN("x"))="x"</formula>
    </cfRule>
  </conditionalFormatting>
  <conditionalFormatting sqref="AD427">
    <cfRule type="endsWith" dxfId="3087" priority="3772" operator="endsWith" text="x">
      <formula>RIGHT(AD427,LEN("x"))="x"</formula>
    </cfRule>
  </conditionalFormatting>
  <conditionalFormatting sqref="AD427">
    <cfRule type="endsWith" dxfId="3086" priority="3771" operator="endsWith" text="x">
      <formula>RIGHT(AD427,LEN("x"))="x"</formula>
    </cfRule>
  </conditionalFormatting>
  <conditionalFormatting sqref="AF425">
    <cfRule type="endsWith" dxfId="3085" priority="3770" operator="endsWith" text="x">
      <formula>RIGHT(AF425,LEN("x"))="x"</formula>
    </cfRule>
  </conditionalFormatting>
  <conditionalFormatting sqref="AF425">
    <cfRule type="endsWith" dxfId="3084" priority="3769" operator="endsWith" text="x">
      <formula>RIGHT(AF425,LEN("x"))="x"</formula>
    </cfRule>
  </conditionalFormatting>
  <conditionalFormatting sqref="AF426">
    <cfRule type="endsWith" dxfId="3083" priority="3768" operator="endsWith" text="x">
      <formula>RIGHT(AF426,LEN("x"))="x"</formula>
    </cfRule>
  </conditionalFormatting>
  <conditionalFormatting sqref="AF426">
    <cfRule type="endsWith" dxfId="3082" priority="3767" operator="endsWith" text="x">
      <formula>RIGHT(AF426,LEN("x"))="x"</formula>
    </cfRule>
  </conditionalFormatting>
  <conditionalFormatting sqref="AF427">
    <cfRule type="endsWith" dxfId="3081" priority="3766" operator="endsWith" text="x">
      <formula>RIGHT(AF427,LEN("x"))="x"</formula>
    </cfRule>
  </conditionalFormatting>
  <conditionalFormatting sqref="AF427">
    <cfRule type="endsWith" dxfId="3080" priority="3765" operator="endsWith" text="x">
      <formula>RIGHT(AF427,LEN("x"))="x"</formula>
    </cfRule>
  </conditionalFormatting>
  <conditionalFormatting sqref="AB363:AL363">
    <cfRule type="endsWith" dxfId="3079" priority="3764" operator="endsWith" text="x">
      <formula>RIGHT(AB363,LEN("x"))="x"</formula>
    </cfRule>
  </conditionalFormatting>
  <conditionalFormatting sqref="AB364:AC364 AE364:AE366 AG364:AL366 AC365:AC366">
    <cfRule type="endsWith" dxfId="3078" priority="3761" operator="endsWith" text="x">
      <formula>RIGHT(AB364,LEN("x"))="x"</formula>
    </cfRule>
  </conditionalFormatting>
  <conditionalFormatting sqref="AF363">
    <cfRule type="endsWith" dxfId="3077" priority="3762" operator="endsWith" text="x">
      <formula>RIGHT(AF363,LEN("x"))="x"</formula>
    </cfRule>
  </conditionalFormatting>
  <conditionalFormatting sqref="AL364">
    <cfRule type="endsWith" dxfId="3076" priority="3759" operator="endsWith" text="x">
      <formula>RIGHT(AL364,LEN("x"))="x"</formula>
    </cfRule>
  </conditionalFormatting>
  <conditionalFormatting sqref="AI364:AK364 AI365:AL366">
    <cfRule type="endsWith" dxfId="3075" priority="3760" operator="endsWith" text="x">
      <formula>RIGHT(AI364,LEN("x"))="x"</formula>
    </cfRule>
  </conditionalFormatting>
  <conditionalFormatting sqref="AI363:AL363">
    <cfRule type="endsWith" dxfId="3074" priority="3763" operator="endsWith" text="x">
      <formula>RIGHT(AI363,LEN("x"))="x"</formula>
    </cfRule>
  </conditionalFormatting>
  <conditionalFormatting sqref="AH366">
    <cfRule type="endsWith" dxfId="3073" priority="3758" operator="endsWith" text="x">
      <formula>RIGHT(AH366,LEN("x"))="x"</formula>
    </cfRule>
  </conditionalFormatting>
  <conditionalFormatting sqref="AB365:AB366">
    <cfRule type="endsWith" dxfId="3072" priority="3757" operator="endsWith" text="x">
      <formula>RIGHT(AB365,LEN("x"))="x"</formula>
    </cfRule>
  </conditionalFormatting>
  <conditionalFormatting sqref="AD364">
    <cfRule type="endsWith" dxfId="3071" priority="3756" operator="endsWith" text="x">
      <formula>RIGHT(AD364,LEN("x"))="x"</formula>
    </cfRule>
  </conditionalFormatting>
  <conditionalFormatting sqref="AD364">
    <cfRule type="endsWith" dxfId="3070" priority="3755" operator="endsWith" text="x">
      <formula>RIGHT(AD364,LEN("x"))="x"</formula>
    </cfRule>
  </conditionalFormatting>
  <conditionalFormatting sqref="AD365">
    <cfRule type="endsWith" dxfId="3069" priority="3754" operator="endsWith" text="x">
      <formula>RIGHT(AD365,LEN("x"))="x"</formula>
    </cfRule>
  </conditionalFormatting>
  <conditionalFormatting sqref="AD365">
    <cfRule type="endsWith" dxfId="3068" priority="3753" operator="endsWith" text="x">
      <formula>RIGHT(AD365,LEN("x"))="x"</formula>
    </cfRule>
  </conditionalFormatting>
  <conditionalFormatting sqref="AD366">
    <cfRule type="endsWith" dxfId="3067" priority="3752" operator="endsWith" text="x">
      <formula>RIGHT(AD366,LEN("x"))="x"</formula>
    </cfRule>
  </conditionalFormatting>
  <conditionalFormatting sqref="AD366">
    <cfRule type="endsWith" dxfId="3066" priority="3751" operator="endsWith" text="x">
      <formula>RIGHT(AD366,LEN("x"))="x"</formula>
    </cfRule>
  </conditionalFormatting>
  <conditionalFormatting sqref="AF364">
    <cfRule type="endsWith" dxfId="3065" priority="3750" operator="endsWith" text="x">
      <formula>RIGHT(AF364,LEN("x"))="x"</formula>
    </cfRule>
  </conditionalFormatting>
  <conditionalFormatting sqref="AF364">
    <cfRule type="endsWith" dxfId="3064" priority="3749" operator="endsWith" text="x">
      <formula>RIGHT(AF364,LEN("x"))="x"</formula>
    </cfRule>
  </conditionalFormatting>
  <conditionalFormatting sqref="AF365">
    <cfRule type="endsWith" dxfId="3063" priority="3748" operator="endsWith" text="x">
      <formula>RIGHT(AF365,LEN("x"))="x"</formula>
    </cfRule>
  </conditionalFormatting>
  <conditionalFormatting sqref="AF365">
    <cfRule type="endsWith" dxfId="3062" priority="3747" operator="endsWith" text="x">
      <formula>RIGHT(AF365,LEN("x"))="x"</formula>
    </cfRule>
  </conditionalFormatting>
  <conditionalFormatting sqref="AF366">
    <cfRule type="endsWith" dxfId="3061" priority="3746" operator="endsWith" text="x">
      <formula>RIGHT(AF366,LEN("x"))="x"</formula>
    </cfRule>
  </conditionalFormatting>
  <conditionalFormatting sqref="AF366">
    <cfRule type="endsWith" dxfId="3060" priority="3745" operator="endsWith" text="x">
      <formula>RIGHT(AF366,LEN("x"))="x"</formula>
    </cfRule>
  </conditionalFormatting>
  <conditionalFormatting sqref="AB345:AL345">
    <cfRule type="endsWith" dxfId="3059" priority="3744" operator="endsWith" text="x">
      <formula>RIGHT(AB345,LEN("x"))="x"</formula>
    </cfRule>
  </conditionalFormatting>
  <conditionalFormatting sqref="AF348">
    <cfRule type="endsWith" dxfId="3058" priority="3731" operator="endsWith" text="x">
      <formula>RIGHT(AF348,LEN("x"))="x"</formula>
    </cfRule>
  </conditionalFormatting>
  <conditionalFormatting sqref="AB346:AC346 AE346:AE348 AC347:AC348 AG346:AL348">
    <cfRule type="endsWith" dxfId="3057" priority="3741" operator="endsWith" text="x">
      <formula>RIGHT(AB346,LEN("x"))="x"</formula>
    </cfRule>
  </conditionalFormatting>
  <conditionalFormatting sqref="AF345">
    <cfRule type="endsWith" dxfId="3056" priority="3742" operator="endsWith" text="x">
      <formula>RIGHT(AF345,LEN("x"))="x"</formula>
    </cfRule>
  </conditionalFormatting>
  <conditionalFormatting sqref="AI346:AK346 AI347:AL348">
    <cfRule type="endsWith" dxfId="3055" priority="3740" operator="endsWith" text="x">
      <formula>RIGHT(AI346,LEN("x"))="x"</formula>
    </cfRule>
  </conditionalFormatting>
  <conditionalFormatting sqref="AF347">
    <cfRule type="endsWith" dxfId="3054" priority="3732" operator="endsWith" text="x">
      <formula>RIGHT(AF347,LEN("x"))="x"</formula>
    </cfRule>
  </conditionalFormatting>
  <conditionalFormatting sqref="AI345:AL345">
    <cfRule type="endsWith" dxfId="3053" priority="3743" operator="endsWith" text="x">
      <formula>RIGHT(AI345,LEN("x"))="x"</formula>
    </cfRule>
  </conditionalFormatting>
  <conditionalFormatting sqref="AF346">
    <cfRule type="endsWith" dxfId="3052" priority="3733" operator="endsWith" text="x">
      <formula>RIGHT(AF346,LEN("x"))="x"</formula>
    </cfRule>
  </conditionalFormatting>
  <conditionalFormatting sqref="AF408">
    <cfRule type="endsWith" dxfId="3051" priority="3730" operator="endsWith" text="x">
      <formula>RIGHT(AF408,LEN("x"))="x"</formula>
    </cfRule>
  </conditionalFormatting>
  <conditionalFormatting sqref="AF409">
    <cfRule type="endsWith" dxfId="3050" priority="3729" operator="endsWith" text="x">
      <formula>RIGHT(AF409,LEN("x"))="x"</formula>
    </cfRule>
  </conditionalFormatting>
  <conditionalFormatting sqref="AF372">
    <cfRule type="endsWith" dxfId="3049" priority="3701" operator="endsWith" text="x">
      <formula>RIGHT(AF372,LEN("x"))="x"</formula>
    </cfRule>
  </conditionalFormatting>
  <conditionalFormatting sqref="AF352">
    <cfRule type="endsWith" dxfId="3048" priority="3718" operator="endsWith" text="x">
      <formula>RIGHT(AF352,LEN("x"))="x"</formula>
    </cfRule>
  </conditionalFormatting>
  <conditionalFormatting sqref="AB351:AL351">
    <cfRule type="endsWith" dxfId="3047" priority="3728" operator="endsWith" text="x">
      <formula>RIGHT(AB351,LEN("x"))="x"</formula>
    </cfRule>
  </conditionalFormatting>
  <conditionalFormatting sqref="AI351:AL351">
    <cfRule type="endsWith" dxfId="3046" priority="3727" operator="endsWith" text="x">
      <formula>RIGHT(AI351,LEN("x"))="x"</formula>
    </cfRule>
  </conditionalFormatting>
  <conditionalFormatting sqref="AF351">
    <cfRule type="endsWith" dxfId="3045" priority="3726" operator="endsWith" text="x">
      <formula>RIGHT(AF351,LEN("x"))="x"</formula>
    </cfRule>
  </conditionalFormatting>
  <conditionalFormatting sqref="AF353">
    <cfRule type="endsWith" dxfId="3044" priority="3717" operator="endsWith" text="x">
      <formula>RIGHT(AF353,LEN("x"))="x"</formula>
    </cfRule>
  </conditionalFormatting>
  <conditionalFormatting sqref="AB352:AC352 AE352:AE354 AG352:AL354 AC353:AC354">
    <cfRule type="endsWith" dxfId="3043" priority="3725" operator="endsWith" text="x">
      <formula>RIGHT(AB352,LEN("x"))="x"</formula>
    </cfRule>
  </conditionalFormatting>
  <conditionalFormatting sqref="AI352:AK352 AI353:AL354">
    <cfRule type="endsWith" dxfId="3042" priority="3724" operator="endsWith" text="x">
      <formula>RIGHT(AI352,LEN("x"))="x"</formula>
    </cfRule>
  </conditionalFormatting>
  <conditionalFormatting sqref="AL352">
    <cfRule type="endsWith" dxfId="3041" priority="3723" operator="endsWith" text="x">
      <formula>RIGHT(AL352,LEN("x"))="x"</formula>
    </cfRule>
  </conditionalFormatting>
  <conditionalFormatting sqref="AH354">
    <cfRule type="endsWith" dxfId="3040" priority="3722" operator="endsWith" text="x">
      <formula>RIGHT(AH354,LEN("x"))="x"</formula>
    </cfRule>
  </conditionalFormatting>
  <conditionalFormatting sqref="AD352">
    <cfRule type="endsWith" dxfId="3039" priority="3721" operator="endsWith" text="x">
      <formula>RIGHT(AD352,LEN("x"))="x"</formula>
    </cfRule>
  </conditionalFormatting>
  <conditionalFormatting sqref="AD353">
    <cfRule type="endsWith" dxfId="3038" priority="3720" operator="endsWith" text="x">
      <formula>RIGHT(AD353,LEN("x"))="x"</formula>
    </cfRule>
  </conditionalFormatting>
  <conditionalFormatting sqref="AD354">
    <cfRule type="endsWith" dxfId="3037" priority="3719" operator="endsWith" text="x">
      <formula>RIGHT(AD354,LEN("x"))="x"</formula>
    </cfRule>
  </conditionalFormatting>
  <conditionalFormatting sqref="AB371:AB372">
    <cfRule type="endsWith" dxfId="3036" priority="3707" operator="endsWith" text="x">
      <formula>RIGHT(AB371,LEN("x"))="x"</formula>
    </cfRule>
  </conditionalFormatting>
  <conditionalFormatting sqref="AD370">
    <cfRule type="endsWith" dxfId="3035" priority="3706" operator="endsWith" text="x">
      <formula>RIGHT(AD370,LEN("x"))="x"</formula>
    </cfRule>
  </conditionalFormatting>
  <conditionalFormatting sqref="AD372">
    <cfRule type="endsWith" dxfId="3034" priority="3704" operator="endsWith" text="x">
      <formula>RIGHT(AD372,LEN("x"))="x"</formula>
    </cfRule>
  </conditionalFormatting>
  <conditionalFormatting sqref="AF370">
    <cfRule type="endsWith" dxfId="3033" priority="3703" operator="endsWith" text="x">
      <formula>RIGHT(AF370,LEN("x"))="x"</formula>
    </cfRule>
  </conditionalFormatting>
  <conditionalFormatting sqref="AF371">
    <cfRule type="endsWith" dxfId="3032" priority="3702" operator="endsWith" text="x">
      <formula>RIGHT(AF371,LEN("x"))="x"</formula>
    </cfRule>
  </conditionalFormatting>
  <conditionalFormatting sqref="AL370">
    <cfRule type="endsWith" dxfId="3031" priority="3709" operator="endsWith" text="x">
      <formula>RIGHT(AL370,LEN("x"))="x"</formula>
    </cfRule>
  </conditionalFormatting>
  <conditionalFormatting sqref="AH372">
    <cfRule type="endsWith" dxfId="3030" priority="3708" operator="endsWith" text="x">
      <formula>RIGHT(AH372,LEN("x"))="x"</formula>
    </cfRule>
  </conditionalFormatting>
  <conditionalFormatting sqref="AD371">
    <cfRule type="endsWith" dxfId="3029" priority="3705" operator="endsWith" text="x">
      <formula>RIGHT(AD371,LEN("x"))="x"</formula>
    </cfRule>
  </conditionalFormatting>
  <conditionalFormatting sqref="AB375:AL375">
    <cfRule type="endsWith" dxfId="3028" priority="3700" operator="endsWith" text="x">
      <formula>RIGHT(AB375,LEN("x"))="x"</formula>
    </cfRule>
  </conditionalFormatting>
  <conditionalFormatting sqref="AB376:AC376 AE376:AE378 AC377:AC378 AG376:AL378">
    <cfRule type="endsWith" dxfId="3027" priority="3697" operator="endsWith" text="x">
      <formula>RIGHT(AB376,LEN("x"))="x"</formula>
    </cfRule>
  </conditionalFormatting>
  <conditionalFormatting sqref="AF375">
    <cfRule type="endsWith" dxfId="3026" priority="3698" operator="endsWith" text="x">
      <formula>RIGHT(AF375,LEN("x"))="x"</formula>
    </cfRule>
  </conditionalFormatting>
  <conditionalFormatting sqref="AL376">
    <cfRule type="endsWith" dxfId="3025" priority="3695" operator="endsWith" text="x">
      <formula>RIGHT(AL376,LEN("x"))="x"</formula>
    </cfRule>
  </conditionalFormatting>
  <conditionalFormatting sqref="AI376:AK376 AI377:AL378">
    <cfRule type="endsWith" dxfId="3024" priority="3696" operator="endsWith" text="x">
      <formula>RIGHT(AI376,LEN("x"))="x"</formula>
    </cfRule>
  </conditionalFormatting>
  <conditionalFormatting sqref="AI375:AL375">
    <cfRule type="endsWith" dxfId="3023" priority="3699" operator="endsWith" text="x">
      <formula>RIGHT(AI375,LEN("x"))="x"</formula>
    </cfRule>
  </conditionalFormatting>
  <conditionalFormatting sqref="AH378">
    <cfRule type="endsWith" dxfId="3022" priority="3694" operator="endsWith" text="x">
      <formula>RIGHT(AH378,LEN("x"))="x"</formula>
    </cfRule>
  </conditionalFormatting>
  <conditionalFormatting sqref="AB377:AB378">
    <cfRule type="endsWith" dxfId="3021" priority="3693" operator="endsWith" text="x">
      <formula>RIGHT(AB377,LEN("x"))="x"</formula>
    </cfRule>
  </conditionalFormatting>
  <conditionalFormatting sqref="AD376">
    <cfRule type="endsWith" dxfId="3020" priority="3692" operator="endsWith" text="x">
      <formula>RIGHT(AD376,LEN("x"))="x"</formula>
    </cfRule>
  </conditionalFormatting>
  <conditionalFormatting sqref="AD376">
    <cfRule type="endsWith" dxfId="3019" priority="3691" operator="endsWith" text="x">
      <formula>RIGHT(AD376,LEN("x"))="x"</formula>
    </cfRule>
  </conditionalFormatting>
  <conditionalFormatting sqref="AD377">
    <cfRule type="endsWith" dxfId="3018" priority="3690" operator="endsWith" text="x">
      <formula>RIGHT(AD377,LEN("x"))="x"</formula>
    </cfRule>
  </conditionalFormatting>
  <conditionalFormatting sqref="AD377">
    <cfRule type="endsWith" dxfId="3017" priority="3689" operator="endsWith" text="x">
      <formula>RIGHT(AD377,LEN("x"))="x"</formula>
    </cfRule>
  </conditionalFormatting>
  <conditionalFormatting sqref="AD378">
    <cfRule type="endsWith" dxfId="3016" priority="3688" operator="endsWith" text="x">
      <formula>RIGHT(AD378,LEN("x"))="x"</formula>
    </cfRule>
  </conditionalFormatting>
  <conditionalFormatting sqref="AD378">
    <cfRule type="endsWith" dxfId="3015" priority="3687" operator="endsWith" text="x">
      <formula>RIGHT(AD378,LEN("x"))="x"</formula>
    </cfRule>
  </conditionalFormatting>
  <conditionalFormatting sqref="AF394">
    <cfRule type="endsWith" dxfId="3014" priority="3626" operator="endsWith" text="x">
      <formula>RIGHT(AF394,LEN("x"))="x"</formula>
    </cfRule>
  </conditionalFormatting>
  <conditionalFormatting sqref="AF394">
    <cfRule type="endsWith" dxfId="3013" priority="3625" operator="endsWith" text="x">
      <formula>RIGHT(AF394,LEN("x"))="x"</formula>
    </cfRule>
  </conditionalFormatting>
  <conditionalFormatting sqref="AF376">
    <cfRule type="endsWith" dxfId="3012" priority="3686" operator="endsWith" text="x">
      <formula>RIGHT(AF376,LEN("x"))="x"</formula>
    </cfRule>
  </conditionalFormatting>
  <conditionalFormatting sqref="AF376">
    <cfRule type="endsWith" dxfId="3011" priority="3685" operator="endsWith" text="x">
      <formula>RIGHT(AF376,LEN("x"))="x"</formula>
    </cfRule>
  </conditionalFormatting>
  <conditionalFormatting sqref="AF377">
    <cfRule type="endsWith" dxfId="3010" priority="3684" operator="endsWith" text="x">
      <formula>RIGHT(AF377,LEN("x"))="x"</formula>
    </cfRule>
  </conditionalFormatting>
  <conditionalFormatting sqref="AF377">
    <cfRule type="endsWith" dxfId="3009" priority="3683" operator="endsWith" text="x">
      <formula>RIGHT(AF377,LEN("x"))="x"</formula>
    </cfRule>
  </conditionalFormatting>
  <conditionalFormatting sqref="AF378">
    <cfRule type="endsWith" dxfId="3008" priority="3682" operator="endsWith" text="x">
      <formula>RIGHT(AF378,LEN("x"))="x"</formula>
    </cfRule>
  </conditionalFormatting>
  <conditionalFormatting sqref="AF378">
    <cfRule type="endsWith" dxfId="3007" priority="3681" operator="endsWith" text="x">
      <formula>RIGHT(AF378,LEN("x"))="x"</formula>
    </cfRule>
  </conditionalFormatting>
  <conditionalFormatting sqref="AB381:AL381">
    <cfRule type="endsWith" dxfId="3006" priority="3680" operator="endsWith" text="x">
      <formula>RIGHT(AB381,LEN("x"))="x"</formula>
    </cfRule>
  </conditionalFormatting>
  <conditionalFormatting sqref="AB382:AC382 AE382:AE384 AG382:AL384 AC383:AC384">
    <cfRule type="endsWith" dxfId="3005" priority="3677" operator="endsWith" text="x">
      <formula>RIGHT(AB382,LEN("x"))="x"</formula>
    </cfRule>
  </conditionalFormatting>
  <conditionalFormatting sqref="AF381">
    <cfRule type="endsWith" dxfId="3004" priority="3678" operator="endsWith" text="x">
      <formula>RIGHT(AF381,LEN("x"))="x"</formula>
    </cfRule>
  </conditionalFormatting>
  <conditionalFormatting sqref="AL382">
    <cfRule type="endsWith" dxfId="3003" priority="3675" operator="endsWith" text="x">
      <formula>RIGHT(AL382,LEN("x"))="x"</formula>
    </cfRule>
  </conditionalFormatting>
  <conditionalFormatting sqref="AI382:AK382 AI383:AL384">
    <cfRule type="endsWith" dxfId="3002" priority="3676" operator="endsWith" text="x">
      <formula>RIGHT(AI382,LEN("x"))="x"</formula>
    </cfRule>
  </conditionalFormatting>
  <conditionalFormatting sqref="AI381:AL381">
    <cfRule type="endsWith" dxfId="3001" priority="3679" operator="endsWith" text="x">
      <formula>RIGHT(AI381,LEN("x"))="x"</formula>
    </cfRule>
  </conditionalFormatting>
  <conditionalFormatting sqref="AH384">
    <cfRule type="endsWith" dxfId="3000" priority="3674" operator="endsWith" text="x">
      <formula>RIGHT(AH384,LEN("x"))="x"</formula>
    </cfRule>
  </conditionalFormatting>
  <conditionalFormatting sqref="AB383:AB384">
    <cfRule type="endsWith" dxfId="2999" priority="3673" operator="endsWith" text="x">
      <formula>RIGHT(AB383,LEN("x"))="x"</formula>
    </cfRule>
  </conditionalFormatting>
  <conditionalFormatting sqref="AD382">
    <cfRule type="endsWith" dxfId="2998" priority="3672" operator="endsWith" text="x">
      <formula>RIGHT(AD382,LEN("x"))="x"</formula>
    </cfRule>
  </conditionalFormatting>
  <conditionalFormatting sqref="AD382">
    <cfRule type="endsWith" dxfId="2997" priority="3671" operator="endsWith" text="x">
      <formula>RIGHT(AD382,LEN("x"))="x"</formula>
    </cfRule>
  </conditionalFormatting>
  <conditionalFormatting sqref="AD383">
    <cfRule type="endsWith" dxfId="2996" priority="3670" operator="endsWith" text="x">
      <formula>RIGHT(AD383,LEN("x"))="x"</formula>
    </cfRule>
  </conditionalFormatting>
  <conditionalFormatting sqref="AD383">
    <cfRule type="endsWith" dxfId="2995" priority="3669" operator="endsWith" text="x">
      <formula>RIGHT(AD383,LEN("x"))="x"</formula>
    </cfRule>
  </conditionalFormatting>
  <conditionalFormatting sqref="AD384">
    <cfRule type="endsWith" dxfId="2994" priority="3668" operator="endsWith" text="x">
      <formula>RIGHT(AD384,LEN("x"))="x"</formula>
    </cfRule>
  </conditionalFormatting>
  <conditionalFormatting sqref="AD384">
    <cfRule type="endsWith" dxfId="2993" priority="3667" operator="endsWith" text="x">
      <formula>RIGHT(AD384,LEN("x"))="x"</formula>
    </cfRule>
  </conditionalFormatting>
  <conditionalFormatting sqref="AF382">
    <cfRule type="endsWith" dxfId="2992" priority="3666" operator="endsWith" text="x">
      <formula>RIGHT(AF382,LEN("x"))="x"</formula>
    </cfRule>
  </conditionalFormatting>
  <conditionalFormatting sqref="AF382">
    <cfRule type="endsWith" dxfId="2991" priority="3665" operator="endsWith" text="x">
      <formula>RIGHT(AF382,LEN("x"))="x"</formula>
    </cfRule>
  </conditionalFormatting>
  <conditionalFormatting sqref="AF383">
    <cfRule type="endsWith" dxfId="2990" priority="3664" operator="endsWith" text="x">
      <formula>RIGHT(AF383,LEN("x"))="x"</formula>
    </cfRule>
  </conditionalFormatting>
  <conditionalFormatting sqref="AF383">
    <cfRule type="endsWith" dxfId="2989" priority="3663" operator="endsWith" text="x">
      <formula>RIGHT(AF383,LEN("x"))="x"</formula>
    </cfRule>
  </conditionalFormatting>
  <conditionalFormatting sqref="AF384">
    <cfRule type="endsWith" dxfId="2988" priority="3662" operator="endsWith" text="x">
      <formula>RIGHT(AF384,LEN("x"))="x"</formula>
    </cfRule>
  </conditionalFormatting>
  <conditionalFormatting sqref="AF384">
    <cfRule type="endsWith" dxfId="2987" priority="3661" operator="endsWith" text="x">
      <formula>RIGHT(AF384,LEN("x"))="x"</formula>
    </cfRule>
  </conditionalFormatting>
  <conditionalFormatting sqref="AB387:AL387">
    <cfRule type="endsWith" dxfId="2986" priority="3660" operator="endsWith" text="x">
      <formula>RIGHT(AB387,LEN("x"))="x"</formula>
    </cfRule>
  </conditionalFormatting>
  <conditionalFormatting sqref="AB388:AC388 AE388:AE390 AG388:AL390 AC389:AC390">
    <cfRule type="endsWith" dxfId="2985" priority="3657" operator="endsWith" text="x">
      <formula>RIGHT(AB388,LEN("x"))="x"</formula>
    </cfRule>
  </conditionalFormatting>
  <conditionalFormatting sqref="AF387">
    <cfRule type="endsWith" dxfId="2984" priority="3658" operator="endsWith" text="x">
      <formula>RIGHT(AF387,LEN("x"))="x"</formula>
    </cfRule>
  </conditionalFormatting>
  <conditionalFormatting sqref="AL388">
    <cfRule type="endsWith" dxfId="2983" priority="3655" operator="endsWith" text="x">
      <formula>RIGHT(AL388,LEN("x"))="x"</formula>
    </cfRule>
  </conditionalFormatting>
  <conditionalFormatting sqref="AI388:AK388 AI389:AL390">
    <cfRule type="endsWith" dxfId="2982" priority="3656" operator="endsWith" text="x">
      <formula>RIGHT(AI388,LEN("x"))="x"</formula>
    </cfRule>
  </conditionalFormatting>
  <conditionalFormatting sqref="AI387:AL387">
    <cfRule type="endsWith" dxfId="2981" priority="3659" operator="endsWith" text="x">
      <formula>RIGHT(AI387,LEN("x"))="x"</formula>
    </cfRule>
  </conditionalFormatting>
  <conditionalFormatting sqref="AH390">
    <cfRule type="endsWith" dxfId="2980" priority="3654" operator="endsWith" text="x">
      <formula>RIGHT(AH390,LEN("x"))="x"</formula>
    </cfRule>
  </conditionalFormatting>
  <conditionalFormatting sqref="AB389:AB390">
    <cfRule type="endsWith" dxfId="2979" priority="3653" operator="endsWith" text="x">
      <formula>RIGHT(AB389,LEN("x"))="x"</formula>
    </cfRule>
  </conditionalFormatting>
  <conditionalFormatting sqref="AD388">
    <cfRule type="endsWith" dxfId="2978" priority="3652" operator="endsWith" text="x">
      <formula>RIGHT(AD388,LEN("x"))="x"</formula>
    </cfRule>
  </conditionalFormatting>
  <conditionalFormatting sqref="AD388">
    <cfRule type="endsWith" dxfId="2977" priority="3651" operator="endsWith" text="x">
      <formula>RIGHT(AD388,LEN("x"))="x"</formula>
    </cfRule>
  </conditionalFormatting>
  <conditionalFormatting sqref="AD389">
    <cfRule type="endsWith" dxfId="2976" priority="3650" operator="endsWith" text="x">
      <formula>RIGHT(AD389,LEN("x"))="x"</formula>
    </cfRule>
  </conditionalFormatting>
  <conditionalFormatting sqref="AD389">
    <cfRule type="endsWith" dxfId="2975" priority="3649" operator="endsWith" text="x">
      <formula>RIGHT(AD389,LEN("x"))="x"</formula>
    </cfRule>
  </conditionalFormatting>
  <conditionalFormatting sqref="AD390">
    <cfRule type="endsWith" dxfId="2974" priority="3648" operator="endsWith" text="x">
      <formula>RIGHT(AD390,LEN("x"))="x"</formula>
    </cfRule>
  </conditionalFormatting>
  <conditionalFormatting sqref="AD390">
    <cfRule type="endsWith" dxfId="2973" priority="3647" operator="endsWith" text="x">
      <formula>RIGHT(AD390,LEN("x"))="x"</formula>
    </cfRule>
  </conditionalFormatting>
  <conditionalFormatting sqref="AF388">
    <cfRule type="endsWith" dxfId="2972" priority="3646" operator="endsWith" text="x">
      <formula>RIGHT(AF388,LEN("x"))="x"</formula>
    </cfRule>
  </conditionalFormatting>
  <conditionalFormatting sqref="AF388">
    <cfRule type="endsWith" dxfId="2971" priority="3645" operator="endsWith" text="x">
      <formula>RIGHT(AF388,LEN("x"))="x"</formula>
    </cfRule>
  </conditionalFormatting>
  <conditionalFormatting sqref="AF389">
    <cfRule type="endsWith" dxfId="2970" priority="3644" operator="endsWith" text="x">
      <formula>RIGHT(AF389,LEN("x"))="x"</formula>
    </cfRule>
  </conditionalFormatting>
  <conditionalFormatting sqref="AF389">
    <cfRule type="endsWith" dxfId="2969" priority="3643" operator="endsWith" text="x">
      <formula>RIGHT(AF389,LEN("x"))="x"</formula>
    </cfRule>
  </conditionalFormatting>
  <conditionalFormatting sqref="AF390">
    <cfRule type="endsWith" dxfId="2968" priority="3642" operator="endsWith" text="x">
      <formula>RIGHT(AF390,LEN("x"))="x"</formula>
    </cfRule>
  </conditionalFormatting>
  <conditionalFormatting sqref="AF390">
    <cfRule type="endsWith" dxfId="2967" priority="3641" operator="endsWith" text="x">
      <formula>RIGHT(AF390,LEN("x"))="x"</formula>
    </cfRule>
  </conditionalFormatting>
  <conditionalFormatting sqref="AB393:AL393">
    <cfRule type="endsWith" dxfId="2966" priority="3640" operator="endsWith" text="x">
      <formula>RIGHT(AB393,LEN("x"))="x"</formula>
    </cfRule>
  </conditionalFormatting>
  <conditionalFormatting sqref="AB394:AC394 AE394:AE396 AG394:AL396 AC395:AC396">
    <cfRule type="endsWith" dxfId="2965" priority="3637" operator="endsWith" text="x">
      <formula>RIGHT(AB394,LEN("x"))="x"</formula>
    </cfRule>
  </conditionalFormatting>
  <conditionalFormatting sqref="AF393">
    <cfRule type="endsWith" dxfId="2964" priority="3638" operator="endsWith" text="x">
      <formula>RIGHT(AF393,LEN("x"))="x"</formula>
    </cfRule>
  </conditionalFormatting>
  <conditionalFormatting sqref="AL394">
    <cfRule type="endsWith" dxfId="2963" priority="3635" operator="endsWith" text="x">
      <formula>RIGHT(AL394,LEN("x"))="x"</formula>
    </cfRule>
  </conditionalFormatting>
  <conditionalFormatting sqref="AI394:AK394 AI395:AL396">
    <cfRule type="endsWith" dxfId="2962" priority="3636" operator="endsWith" text="x">
      <formula>RIGHT(AI394,LEN("x"))="x"</formula>
    </cfRule>
  </conditionalFormatting>
  <conditionalFormatting sqref="AI393:AL393">
    <cfRule type="endsWith" dxfId="2961" priority="3639" operator="endsWith" text="x">
      <formula>RIGHT(AI393,LEN("x"))="x"</formula>
    </cfRule>
  </conditionalFormatting>
  <conditionalFormatting sqref="AH396">
    <cfRule type="endsWith" dxfId="2960" priority="3634" operator="endsWith" text="x">
      <formula>RIGHT(AH396,LEN("x"))="x"</formula>
    </cfRule>
  </conditionalFormatting>
  <conditionalFormatting sqref="AB395:AB396">
    <cfRule type="endsWith" dxfId="2959" priority="3633" operator="endsWith" text="x">
      <formula>RIGHT(AB395,LEN("x"))="x"</formula>
    </cfRule>
  </conditionalFormatting>
  <conditionalFormatting sqref="AD394">
    <cfRule type="endsWith" dxfId="2958" priority="3632" operator="endsWith" text="x">
      <formula>RIGHT(AD394,LEN("x"))="x"</formula>
    </cfRule>
  </conditionalFormatting>
  <conditionalFormatting sqref="AD394">
    <cfRule type="endsWith" dxfId="2957" priority="3631" operator="endsWith" text="x">
      <formula>RIGHT(AD394,LEN("x"))="x"</formula>
    </cfRule>
  </conditionalFormatting>
  <conditionalFormatting sqref="AD395">
    <cfRule type="endsWith" dxfId="2956" priority="3630" operator="endsWith" text="x">
      <formula>RIGHT(AD395,LEN("x"))="x"</formula>
    </cfRule>
  </conditionalFormatting>
  <conditionalFormatting sqref="AD395">
    <cfRule type="endsWith" dxfId="2955" priority="3629" operator="endsWith" text="x">
      <formula>RIGHT(AD395,LEN("x"))="x"</formula>
    </cfRule>
  </conditionalFormatting>
  <conditionalFormatting sqref="AD396">
    <cfRule type="endsWith" dxfId="2954" priority="3628" operator="endsWith" text="x">
      <formula>RIGHT(AD396,LEN("x"))="x"</formula>
    </cfRule>
  </conditionalFormatting>
  <conditionalFormatting sqref="AD396">
    <cfRule type="endsWith" dxfId="2953" priority="3627" operator="endsWith" text="x">
      <formula>RIGHT(AD396,LEN("x"))="x"</formula>
    </cfRule>
  </conditionalFormatting>
  <conditionalFormatting sqref="AF395">
    <cfRule type="endsWith" dxfId="2952" priority="3624" operator="endsWith" text="x">
      <formula>RIGHT(AF395,LEN("x"))="x"</formula>
    </cfRule>
  </conditionalFormatting>
  <conditionalFormatting sqref="AF395">
    <cfRule type="endsWith" dxfId="2951" priority="3623" operator="endsWith" text="x">
      <formula>RIGHT(AF395,LEN("x"))="x"</formula>
    </cfRule>
  </conditionalFormatting>
  <conditionalFormatting sqref="AF396">
    <cfRule type="endsWith" dxfId="2950" priority="3622" operator="endsWith" text="x">
      <formula>RIGHT(AF396,LEN("x"))="x"</formula>
    </cfRule>
  </conditionalFormatting>
  <conditionalFormatting sqref="AF396">
    <cfRule type="endsWith" dxfId="2949" priority="3621" operator="endsWith" text="x">
      <formula>RIGHT(AF396,LEN("x"))="x"</formula>
    </cfRule>
  </conditionalFormatting>
  <conditionalFormatting sqref="AF360">
    <cfRule type="endsWith" dxfId="2948" priority="3607" operator="endsWith" text="x">
      <formula>RIGHT(AF360,LEN("x"))="x"</formula>
    </cfRule>
  </conditionalFormatting>
  <conditionalFormatting sqref="AB359:AB360">
    <cfRule type="endsWith" dxfId="2947" priority="3613" operator="endsWith" text="x">
      <formula>RIGHT(AB359,LEN("x"))="x"</formula>
    </cfRule>
  </conditionalFormatting>
  <conditionalFormatting sqref="AD358">
    <cfRule type="endsWith" dxfId="2946" priority="3612" operator="endsWith" text="x">
      <formula>RIGHT(AD358,LEN("x"))="x"</formula>
    </cfRule>
  </conditionalFormatting>
  <conditionalFormatting sqref="AB357:AL357">
    <cfRule type="endsWith" dxfId="2945" priority="3620" operator="endsWith" text="x">
      <formula>RIGHT(AB357,LEN("x"))="x"</formula>
    </cfRule>
  </conditionalFormatting>
  <conditionalFormatting sqref="AI357:AL357">
    <cfRule type="endsWith" dxfId="2944" priority="3619" operator="endsWith" text="x">
      <formula>RIGHT(AI357,LEN("x"))="x"</formula>
    </cfRule>
  </conditionalFormatting>
  <conditionalFormatting sqref="AF357">
    <cfRule type="endsWith" dxfId="2943" priority="3618" operator="endsWith" text="x">
      <formula>RIGHT(AF357,LEN("x"))="x"</formula>
    </cfRule>
  </conditionalFormatting>
  <conditionalFormatting sqref="AD360">
    <cfRule type="endsWith" dxfId="2942" priority="3610" operator="endsWith" text="x">
      <formula>RIGHT(AD360,LEN("x"))="x"</formula>
    </cfRule>
  </conditionalFormatting>
  <conditionalFormatting sqref="AF358">
    <cfRule type="endsWith" dxfId="2941" priority="3609" operator="endsWith" text="x">
      <formula>RIGHT(AF358,LEN("x"))="x"</formula>
    </cfRule>
  </conditionalFormatting>
  <conditionalFormatting sqref="AF359">
    <cfRule type="endsWith" dxfId="2940" priority="3608" operator="endsWith" text="x">
      <formula>RIGHT(AF359,LEN("x"))="x"</formula>
    </cfRule>
  </conditionalFormatting>
  <conditionalFormatting sqref="AB358:AC358 AE358:AE360 AG358:AL360 AC359:AC360">
    <cfRule type="endsWith" dxfId="2939" priority="3617" operator="endsWith" text="x">
      <formula>RIGHT(AB358,LEN("x"))="x"</formula>
    </cfRule>
  </conditionalFormatting>
  <conditionalFormatting sqref="AI358:AK358 AI359:AL360">
    <cfRule type="endsWith" dxfId="2938" priority="3616" operator="endsWith" text="x">
      <formula>RIGHT(AI358,LEN("x"))="x"</formula>
    </cfRule>
  </conditionalFormatting>
  <conditionalFormatting sqref="AL358">
    <cfRule type="endsWith" dxfId="2937" priority="3615" operator="endsWith" text="x">
      <formula>RIGHT(AL358,LEN("x"))="x"</formula>
    </cfRule>
  </conditionalFormatting>
  <conditionalFormatting sqref="AH360">
    <cfRule type="endsWith" dxfId="2936" priority="3614" operator="endsWith" text="x">
      <formula>RIGHT(AH360,LEN("x"))="x"</formula>
    </cfRule>
  </conditionalFormatting>
  <conditionalFormatting sqref="AD359">
    <cfRule type="endsWith" dxfId="2935" priority="3611" operator="endsWith" text="x">
      <formula>RIGHT(AD359,LEN("x"))="x"</formula>
    </cfRule>
  </conditionalFormatting>
  <conditionalFormatting sqref="AE268">
    <cfRule type="endsWith" dxfId="2934" priority="3586" operator="endsWith" text="x">
      <formula>RIGHT(AE268,LEN("x"))="x"</formula>
    </cfRule>
  </conditionalFormatting>
  <conditionalFormatting sqref="AE269">
    <cfRule type="endsWith" dxfId="2933" priority="3585" operator="endsWith" text="x">
      <formula>RIGHT(AE269,LEN("x"))="x"</formula>
    </cfRule>
  </conditionalFormatting>
  <conditionalFormatting sqref="AE270">
    <cfRule type="endsWith" dxfId="2932" priority="3584" operator="endsWith" text="x">
      <formula>RIGHT(AE270,LEN("x"))="x"</formula>
    </cfRule>
  </conditionalFormatting>
  <conditionalFormatting sqref="AE270">
    <cfRule type="endsWith" dxfId="2931" priority="3583" operator="endsWith" text="x">
      <formula>RIGHT(AE270,LEN("x"))="x"</formula>
    </cfRule>
  </conditionalFormatting>
  <conditionalFormatting sqref="AE271">
    <cfRule type="endsWith" dxfId="2930" priority="3582" operator="endsWith" text="x">
      <formula>RIGHT(AE271,LEN("x"))="x"</formula>
    </cfRule>
  </conditionalFormatting>
  <conditionalFormatting sqref="AG267">
    <cfRule type="endsWith" dxfId="2929" priority="3581" operator="endsWith" text="x">
      <formula>RIGHT(AG267,LEN("x"))="x"</formula>
    </cfRule>
  </conditionalFormatting>
  <conditionalFormatting sqref="AG267">
    <cfRule type="endsWith" dxfId="2928" priority="3580" operator="endsWith" text="x">
      <formula>RIGHT(AG267,LEN("x"))="x"</formula>
    </cfRule>
  </conditionalFormatting>
  <conditionalFormatting sqref="AG268">
    <cfRule type="endsWith" dxfId="2927" priority="3579" operator="endsWith" text="x">
      <formula>RIGHT(AG268,LEN("x"))="x"</formula>
    </cfRule>
  </conditionalFormatting>
  <conditionalFormatting sqref="AG268">
    <cfRule type="endsWith" dxfId="2926" priority="3578" operator="endsWith" text="x">
      <formula>RIGHT(AG268,LEN("x"))="x"</formula>
    </cfRule>
  </conditionalFormatting>
  <conditionalFormatting sqref="AG269">
    <cfRule type="endsWith" dxfId="2925" priority="3577" operator="endsWith" text="x">
      <formula>RIGHT(AG269,LEN("x"))="x"</formula>
    </cfRule>
  </conditionalFormatting>
  <conditionalFormatting sqref="AG269">
    <cfRule type="endsWith" dxfId="2924" priority="3576" operator="endsWith" text="x">
      <formula>RIGHT(AG269,LEN("x"))="x"</formula>
    </cfRule>
  </conditionalFormatting>
  <conditionalFormatting sqref="AG270">
    <cfRule type="endsWith" dxfId="2923" priority="3575" operator="endsWith" text="x">
      <formula>RIGHT(AG270,LEN("x"))="x"</formula>
    </cfRule>
  </conditionalFormatting>
  <conditionalFormatting sqref="AG270">
    <cfRule type="endsWith" dxfId="2922" priority="3574" operator="endsWith" text="x">
      <formula>RIGHT(AG270,LEN("x"))="x"</formula>
    </cfRule>
  </conditionalFormatting>
  <conditionalFormatting sqref="AG271">
    <cfRule type="endsWith" dxfId="2921" priority="3573" operator="endsWith" text="x">
      <formula>RIGHT(AG271,LEN("x"))="x"</formula>
    </cfRule>
  </conditionalFormatting>
  <conditionalFormatting sqref="AC267:AC271">
    <cfRule type="endsWith" dxfId="2920" priority="3569" operator="endsWith" text="x">
      <formula>RIGHT(AC267,LEN("x"))="x"</formula>
    </cfRule>
  </conditionalFormatting>
  <conditionalFormatting sqref="AC269">
    <cfRule type="endsWith" dxfId="2919" priority="3567" operator="endsWith" text="x">
      <formula>RIGHT(AC269,LEN("x"))="x"</formula>
    </cfRule>
  </conditionalFormatting>
  <conditionalFormatting sqref="AC270">
    <cfRule type="endsWith" dxfId="2918" priority="3566" operator="endsWith" text="x">
      <formula>RIGHT(AC270,LEN("x"))="x"</formula>
    </cfRule>
  </conditionalFormatting>
  <conditionalFormatting sqref="AI270:AI271">
    <cfRule type="endsWith" dxfId="2917" priority="3563" operator="endsWith" text="x">
      <formula>RIGHT(AI270,LEN("x"))="x"</formula>
    </cfRule>
  </conditionalFormatting>
  <conditionalFormatting sqref="AD267">
    <cfRule type="endsWith" dxfId="2916" priority="3606" operator="endsWith" text="x">
      <formula>RIGHT(AD267,LEN("x"))="x"</formula>
    </cfRule>
  </conditionalFormatting>
  <conditionalFormatting sqref="AD267">
    <cfRule type="endsWith" dxfId="2915" priority="3605" operator="endsWith" text="x">
      <formula>RIGHT(AD267,LEN("x"))="x"</formula>
    </cfRule>
  </conditionalFormatting>
  <conditionalFormatting sqref="AD268">
    <cfRule type="endsWith" dxfId="2914" priority="3604" operator="endsWith" text="x">
      <formula>RIGHT(AD268,LEN("x"))="x"</formula>
    </cfRule>
  </conditionalFormatting>
  <conditionalFormatting sqref="AD268">
    <cfRule type="endsWith" dxfId="2913" priority="3603" operator="endsWith" text="x">
      <formula>RIGHT(AD268,LEN("x"))="x"</formula>
    </cfRule>
  </conditionalFormatting>
  <conditionalFormatting sqref="AD269">
    <cfRule type="endsWith" dxfId="2912" priority="3602" operator="endsWith" text="x">
      <formula>RIGHT(AD269,LEN("x"))="x"</formula>
    </cfRule>
  </conditionalFormatting>
  <conditionalFormatting sqref="AD269">
    <cfRule type="endsWith" dxfId="2911" priority="3601" operator="endsWith" text="x">
      <formula>RIGHT(AD269,LEN("x"))="x"</formula>
    </cfRule>
  </conditionalFormatting>
  <conditionalFormatting sqref="AD270">
    <cfRule type="endsWith" dxfId="2910" priority="3600" operator="endsWith" text="x">
      <formula>RIGHT(AD270,LEN("x"))="x"</formula>
    </cfRule>
  </conditionalFormatting>
  <conditionalFormatting sqref="AD270">
    <cfRule type="endsWith" dxfId="2909" priority="3599" operator="endsWith" text="x">
      <formula>RIGHT(AD270,LEN("x"))="x"</formula>
    </cfRule>
  </conditionalFormatting>
  <conditionalFormatting sqref="AD271">
    <cfRule type="endsWith" dxfId="2908" priority="3598" operator="endsWith" text="x">
      <formula>RIGHT(AD271,LEN("x"))="x"</formula>
    </cfRule>
  </conditionalFormatting>
  <conditionalFormatting sqref="AD271">
    <cfRule type="endsWith" dxfId="2907" priority="3597" operator="endsWith" text="x">
      <formula>RIGHT(AD271,LEN("x"))="x"</formula>
    </cfRule>
  </conditionalFormatting>
  <conditionalFormatting sqref="AF267">
    <cfRule type="endsWith" dxfId="2906" priority="3596" operator="endsWith" text="x">
      <formula>RIGHT(AF267,LEN("x"))="x"</formula>
    </cfRule>
  </conditionalFormatting>
  <conditionalFormatting sqref="AF267">
    <cfRule type="endsWith" dxfId="2905" priority="3595" operator="endsWith" text="x">
      <formula>RIGHT(AF267,LEN("x"))="x"</formula>
    </cfRule>
  </conditionalFormatting>
  <conditionalFormatting sqref="AF268">
    <cfRule type="endsWith" dxfId="2904" priority="3594" operator="endsWith" text="x">
      <formula>RIGHT(AF268,LEN("x"))="x"</formula>
    </cfRule>
  </conditionalFormatting>
  <conditionalFormatting sqref="AF268">
    <cfRule type="endsWith" dxfId="2903" priority="3593" operator="endsWith" text="x">
      <formula>RIGHT(AF268,LEN("x"))="x"</formula>
    </cfRule>
  </conditionalFormatting>
  <conditionalFormatting sqref="AF269">
    <cfRule type="endsWith" dxfId="2902" priority="3592" operator="endsWith" text="x">
      <formula>RIGHT(AF269,LEN("x"))="x"</formula>
    </cfRule>
  </conditionalFormatting>
  <conditionalFormatting sqref="AF269">
    <cfRule type="endsWith" dxfId="2901" priority="3591" operator="endsWith" text="x">
      <formula>RIGHT(AF269,LEN("x"))="x"</formula>
    </cfRule>
  </conditionalFormatting>
  <conditionalFormatting sqref="AF270">
    <cfRule type="endsWith" dxfId="2900" priority="3590" operator="endsWith" text="x">
      <formula>RIGHT(AF270,LEN("x"))="x"</formula>
    </cfRule>
  </conditionalFormatting>
  <conditionalFormatting sqref="AF270">
    <cfRule type="endsWith" dxfId="2899" priority="3589" operator="endsWith" text="x">
      <formula>RIGHT(AF270,LEN("x"))="x"</formula>
    </cfRule>
  </conditionalFormatting>
  <conditionalFormatting sqref="AF271">
    <cfRule type="endsWith" dxfId="2898" priority="3588" operator="endsWith" text="x">
      <formula>RIGHT(AF271,LEN("x"))="x"</formula>
    </cfRule>
  </conditionalFormatting>
  <conditionalFormatting sqref="AF271">
    <cfRule type="endsWith" dxfId="2897" priority="3587" operator="endsWith" text="x">
      <formula>RIGHT(AF271,LEN("x"))="x"</formula>
    </cfRule>
  </conditionalFormatting>
  <conditionalFormatting sqref="AL267">
    <cfRule type="endsWith" dxfId="2896" priority="3564" operator="endsWith" text="x">
      <formula>RIGHT(AL267,LEN("x"))="x"</formula>
    </cfRule>
  </conditionalFormatting>
  <conditionalFormatting sqref="AH267:AH271">
    <cfRule type="endsWith" dxfId="2895" priority="3572" operator="endsWith" text="x">
      <formula>RIGHT(AH267,LEN("x"))="x"</formula>
    </cfRule>
  </conditionalFormatting>
  <conditionalFormatting sqref="AH268">
    <cfRule type="endsWith" dxfId="2894" priority="3571" operator="endsWith" text="x">
      <formula>RIGHT(AH268,LEN("x"))="x"</formula>
    </cfRule>
  </conditionalFormatting>
  <conditionalFormatting sqref="AH270">
    <cfRule type="endsWith" dxfId="2893" priority="3570" operator="endsWith" text="x">
      <formula>RIGHT(AH270,LEN("x"))="x"</formula>
    </cfRule>
  </conditionalFormatting>
  <conditionalFormatting sqref="AC268">
    <cfRule type="endsWith" dxfId="2892" priority="3568" operator="endsWith" text="x">
      <formula>RIGHT(AC268,LEN("x"))="x"</formula>
    </cfRule>
  </conditionalFormatting>
  <conditionalFormatting sqref="AI266:AL269">
    <cfRule type="endsWith" dxfId="2891" priority="3565" operator="endsWith" text="x">
      <formula>RIGHT(AI266,LEN("x"))="x"</formula>
    </cfRule>
  </conditionalFormatting>
  <conditionalFormatting sqref="AG268">
    <cfRule type="endsWith" dxfId="2890" priority="3562" operator="endsWith" text="x">
      <formula>RIGHT(AG268,LEN("x"))="x"</formula>
    </cfRule>
  </conditionalFormatting>
  <conditionalFormatting sqref="AG268">
    <cfRule type="endsWith" dxfId="2889" priority="3561" operator="endsWith" text="x">
      <formula>RIGHT(AG268,LEN("x"))="x"</formula>
    </cfRule>
  </conditionalFormatting>
  <conditionalFormatting sqref="AG269">
    <cfRule type="endsWith" dxfId="2888" priority="3560" operator="endsWith" text="x">
      <formula>RIGHT(AG269,LEN("x"))="x"</formula>
    </cfRule>
  </conditionalFormatting>
  <conditionalFormatting sqref="AG269">
    <cfRule type="endsWith" dxfId="2887" priority="3559" operator="endsWith" text="x">
      <formula>RIGHT(AG269,LEN("x"))="x"</formula>
    </cfRule>
  </conditionalFormatting>
  <conditionalFormatting sqref="AG270">
    <cfRule type="endsWith" dxfId="2886" priority="3558" operator="endsWith" text="x">
      <formula>RIGHT(AG270,LEN("x"))="x"</formula>
    </cfRule>
  </conditionalFormatting>
  <conditionalFormatting sqref="AG270">
    <cfRule type="endsWith" dxfId="2885" priority="3557" operator="endsWith" text="x">
      <formula>RIGHT(AG270,LEN("x"))="x"</formula>
    </cfRule>
  </conditionalFormatting>
  <conditionalFormatting sqref="AG271">
    <cfRule type="endsWith" dxfId="2884" priority="3556" operator="endsWith" text="x">
      <formula>RIGHT(AG271,LEN("x"))="x"</formula>
    </cfRule>
  </conditionalFormatting>
  <conditionalFormatting sqref="AG271">
    <cfRule type="endsWith" dxfId="2883" priority="3555" operator="endsWith" text="x">
      <formula>RIGHT(AG271,LEN("x"))="x"</formula>
    </cfRule>
  </conditionalFormatting>
  <conditionalFormatting sqref="AF268">
    <cfRule type="endsWith" dxfId="2882" priority="3554" operator="endsWith" text="x">
      <formula>RIGHT(AF268,LEN("x"))="x"</formula>
    </cfRule>
  </conditionalFormatting>
  <conditionalFormatting sqref="AF268">
    <cfRule type="endsWith" dxfId="2881" priority="3553" operator="endsWith" text="x">
      <formula>RIGHT(AF268,LEN("x"))="x"</formula>
    </cfRule>
  </conditionalFormatting>
  <conditionalFormatting sqref="AF269">
    <cfRule type="endsWith" dxfId="2880" priority="3552" operator="endsWith" text="x">
      <formula>RIGHT(AF269,LEN("x"))="x"</formula>
    </cfRule>
  </conditionalFormatting>
  <conditionalFormatting sqref="AF269">
    <cfRule type="endsWith" dxfId="2879" priority="3551" operator="endsWith" text="x">
      <formula>RIGHT(AF269,LEN("x"))="x"</formula>
    </cfRule>
  </conditionalFormatting>
  <conditionalFormatting sqref="AF270">
    <cfRule type="endsWith" dxfId="2878" priority="3550" operator="endsWith" text="x">
      <formula>RIGHT(AF270,LEN("x"))="x"</formula>
    </cfRule>
  </conditionalFormatting>
  <conditionalFormatting sqref="AF270">
    <cfRule type="endsWith" dxfId="2877" priority="3549" operator="endsWith" text="x">
      <formula>RIGHT(AF270,LEN("x"))="x"</formula>
    </cfRule>
  </conditionalFormatting>
  <conditionalFormatting sqref="AF271">
    <cfRule type="endsWith" dxfId="2876" priority="3548" operator="endsWith" text="x">
      <formula>RIGHT(AF271,LEN("x"))="x"</formula>
    </cfRule>
  </conditionalFormatting>
  <conditionalFormatting sqref="AF271">
    <cfRule type="endsWith" dxfId="2875" priority="3547" operator="endsWith" text="x">
      <formula>RIGHT(AF271,LEN("x"))="x"</formula>
    </cfRule>
  </conditionalFormatting>
  <conditionalFormatting sqref="AB274:AL274 AB275:AC279 AE275:AE279 AG275:AL279">
    <cfRule type="endsWith" dxfId="2874" priority="3546" operator="endsWith" text="x">
      <formula>RIGHT(AB274,LEN("x"))="x"</formula>
    </cfRule>
  </conditionalFormatting>
  <conditionalFormatting sqref="AC276">
    <cfRule type="endsWith" dxfId="2873" priority="3545" operator="endsWith" text="x">
      <formula>RIGHT(AC276,LEN("x"))="x"</formula>
    </cfRule>
  </conditionalFormatting>
  <conditionalFormatting sqref="AC277">
    <cfRule type="endsWith" dxfId="2872" priority="3544" operator="endsWith" text="x">
      <formula>RIGHT(AC277,LEN("x"))="x"</formula>
    </cfRule>
  </conditionalFormatting>
  <conditionalFormatting sqref="AG275">
    <cfRule type="endsWith" dxfId="2871" priority="3543" operator="endsWith" text="x">
      <formula>RIGHT(AG275,LEN("x"))="x"</formula>
    </cfRule>
  </conditionalFormatting>
  <conditionalFormatting sqref="AH276">
    <cfRule type="endsWith" dxfId="2870" priority="3542" operator="endsWith" text="x">
      <formula>RIGHT(AH276,LEN("x"))="x"</formula>
    </cfRule>
  </conditionalFormatting>
  <conditionalFormatting sqref="AB278">
    <cfRule type="endsWith" dxfId="2869" priority="3541" operator="endsWith" text="x">
      <formula>RIGHT(AB278,LEN("x"))="x"</formula>
    </cfRule>
  </conditionalFormatting>
  <conditionalFormatting sqref="AC278 AE278 AH278">
    <cfRule type="endsWith" dxfId="2868" priority="3540" operator="endsWith" text="x">
      <formula>RIGHT(AC278,LEN("x"))="x"</formula>
    </cfRule>
  </conditionalFormatting>
  <conditionalFormatting sqref="AG278">
    <cfRule type="endsWith" dxfId="2867" priority="3539" operator="endsWith" text="x">
      <formula>RIGHT(AG278,LEN("x"))="x"</formula>
    </cfRule>
  </conditionalFormatting>
  <conditionalFormatting sqref="AL275">
    <cfRule type="endsWith" dxfId="2866" priority="3538" operator="endsWith" text="x">
      <formula>RIGHT(AL275,LEN("x"))="x"</formula>
    </cfRule>
  </conditionalFormatting>
  <conditionalFormatting sqref="AF274">
    <cfRule type="endsWith" dxfId="2865" priority="3537" operator="endsWith" text="x">
      <formula>RIGHT(AF274,LEN("x"))="x"</formula>
    </cfRule>
  </conditionalFormatting>
  <conditionalFormatting sqref="AD275">
    <cfRule type="endsWith" dxfId="2864" priority="3536" operator="endsWith" text="x">
      <formula>RIGHT(AD275,LEN("x"))="x"</formula>
    </cfRule>
  </conditionalFormatting>
  <conditionalFormatting sqref="AD276">
    <cfRule type="endsWith" dxfId="2863" priority="3535" operator="endsWith" text="x">
      <formula>RIGHT(AD276,LEN("x"))="x"</formula>
    </cfRule>
  </conditionalFormatting>
  <conditionalFormatting sqref="AD277">
    <cfRule type="endsWith" dxfId="2862" priority="3534" operator="endsWith" text="x">
      <formula>RIGHT(AD277,LEN("x"))="x"</formula>
    </cfRule>
  </conditionalFormatting>
  <conditionalFormatting sqref="AD278">
    <cfRule type="endsWith" dxfId="2861" priority="3533" operator="endsWith" text="x">
      <formula>RIGHT(AD278,LEN("x"))="x"</formula>
    </cfRule>
  </conditionalFormatting>
  <conditionalFormatting sqref="AD279">
    <cfRule type="endsWith" dxfId="2860" priority="3532" operator="endsWith" text="x">
      <formula>RIGHT(AD279,LEN("x"))="x"</formula>
    </cfRule>
  </conditionalFormatting>
  <conditionalFormatting sqref="AF275">
    <cfRule type="endsWith" dxfId="2859" priority="3531" operator="endsWith" text="x">
      <formula>RIGHT(AF275,LEN("x"))="x"</formula>
    </cfRule>
  </conditionalFormatting>
  <conditionalFormatting sqref="AF276">
    <cfRule type="endsWith" dxfId="2858" priority="3530" operator="endsWith" text="x">
      <formula>RIGHT(AF276,LEN("x"))="x"</formula>
    </cfRule>
  </conditionalFormatting>
  <conditionalFormatting sqref="AF279">
    <cfRule type="endsWith" dxfId="2857" priority="3529" operator="endsWith" text="x">
      <formula>RIGHT(AF279,LEN("x"))="x"</formula>
    </cfRule>
  </conditionalFormatting>
  <conditionalFormatting sqref="AF278">
    <cfRule type="endsWith" dxfId="2856" priority="3528" operator="endsWith" text="x">
      <formula>RIGHT(AF278,LEN("x"))="x"</formula>
    </cfRule>
  </conditionalFormatting>
  <conditionalFormatting sqref="AF277">
    <cfRule type="endsWith" dxfId="2855" priority="3527" operator="endsWith" text="x">
      <formula>RIGHT(AF277,LEN("x"))="x"</formula>
    </cfRule>
  </conditionalFormatting>
  <conditionalFormatting sqref="AD205">
    <cfRule type="endsWith" dxfId="2854" priority="3526" operator="endsWith" text="x">
      <formula>RIGHT(AD205,LEN("x"))="x"</formula>
    </cfRule>
  </conditionalFormatting>
  <conditionalFormatting sqref="AD205">
    <cfRule type="endsWith" dxfId="2853" priority="3525" operator="endsWith" text="x">
      <formula>RIGHT(AD205,LEN("x"))="x"</formula>
    </cfRule>
  </conditionalFormatting>
  <conditionalFormatting sqref="AD206">
    <cfRule type="endsWith" dxfId="2852" priority="3524" operator="endsWith" text="x">
      <formula>RIGHT(AD206,LEN("x"))="x"</formula>
    </cfRule>
  </conditionalFormatting>
  <conditionalFormatting sqref="AD206">
    <cfRule type="endsWith" dxfId="2851" priority="3523" operator="endsWith" text="x">
      <formula>RIGHT(AD206,LEN("x"))="x"</formula>
    </cfRule>
  </conditionalFormatting>
  <conditionalFormatting sqref="AD207">
    <cfRule type="endsWith" dxfId="2850" priority="3522" operator="endsWith" text="x">
      <formula>RIGHT(AD207,LEN("x"))="x"</formula>
    </cfRule>
  </conditionalFormatting>
  <conditionalFormatting sqref="AD207">
    <cfRule type="endsWith" dxfId="2849" priority="3521" operator="endsWith" text="x">
      <formula>RIGHT(AD207,LEN("x"))="x"</formula>
    </cfRule>
  </conditionalFormatting>
  <conditionalFormatting sqref="AD208">
    <cfRule type="endsWith" dxfId="2848" priority="3520" operator="endsWith" text="x">
      <formula>RIGHT(AD208,LEN("x"))="x"</formula>
    </cfRule>
  </conditionalFormatting>
  <conditionalFormatting sqref="AD208">
    <cfRule type="endsWith" dxfId="2847" priority="3519" operator="endsWith" text="x">
      <formula>RIGHT(AD208,LEN("x"))="x"</formula>
    </cfRule>
  </conditionalFormatting>
  <conditionalFormatting sqref="AD209">
    <cfRule type="endsWith" dxfId="2846" priority="3518" operator="endsWith" text="x">
      <formula>RIGHT(AD209,LEN("x"))="x"</formula>
    </cfRule>
  </conditionalFormatting>
  <conditionalFormatting sqref="AD209">
    <cfRule type="endsWith" dxfId="2845" priority="3517" operator="endsWith" text="x">
      <formula>RIGHT(AD209,LEN("x"))="x"</formula>
    </cfRule>
  </conditionalFormatting>
  <conditionalFormatting sqref="AF205">
    <cfRule type="endsWith" dxfId="2844" priority="3516" operator="endsWith" text="x">
      <formula>RIGHT(AF205,LEN("x"))="x"</formula>
    </cfRule>
  </conditionalFormatting>
  <conditionalFormatting sqref="AF205">
    <cfRule type="endsWith" dxfId="2843" priority="3515" operator="endsWith" text="x">
      <formula>RIGHT(AF205,LEN("x"))="x"</formula>
    </cfRule>
  </conditionalFormatting>
  <conditionalFormatting sqref="AF206">
    <cfRule type="endsWith" dxfId="2842" priority="3514" operator="endsWith" text="x">
      <formula>RIGHT(AF206,LEN("x"))="x"</formula>
    </cfRule>
  </conditionalFormatting>
  <conditionalFormatting sqref="AF206">
    <cfRule type="endsWith" dxfId="2841" priority="3513" operator="endsWith" text="x">
      <formula>RIGHT(AF206,LEN("x"))="x"</formula>
    </cfRule>
  </conditionalFormatting>
  <conditionalFormatting sqref="AF207">
    <cfRule type="endsWith" dxfId="2840" priority="3512" operator="endsWith" text="x">
      <formula>RIGHT(AF207,LEN("x"))="x"</formula>
    </cfRule>
  </conditionalFormatting>
  <conditionalFormatting sqref="AF207">
    <cfRule type="endsWith" dxfId="2839" priority="3511" operator="endsWith" text="x">
      <formula>RIGHT(AF207,LEN("x"))="x"</formula>
    </cfRule>
  </conditionalFormatting>
  <conditionalFormatting sqref="AF208">
    <cfRule type="endsWith" dxfId="2838" priority="3510" operator="endsWith" text="x">
      <formula>RIGHT(AF208,LEN("x"))="x"</formula>
    </cfRule>
  </conditionalFormatting>
  <conditionalFormatting sqref="AF208">
    <cfRule type="endsWith" dxfId="2837" priority="3509" operator="endsWith" text="x">
      <formula>RIGHT(AF208,LEN("x"))="x"</formula>
    </cfRule>
  </conditionalFormatting>
  <conditionalFormatting sqref="AF209">
    <cfRule type="endsWith" dxfId="2836" priority="3508" operator="endsWith" text="x">
      <formula>RIGHT(AF209,LEN("x"))="x"</formula>
    </cfRule>
  </conditionalFormatting>
  <conditionalFormatting sqref="AF209">
    <cfRule type="endsWith" dxfId="2835" priority="3507" operator="endsWith" text="x">
      <formula>RIGHT(AF209,LEN("x"))="x"</formula>
    </cfRule>
  </conditionalFormatting>
  <conditionalFormatting sqref="AE206">
    <cfRule type="endsWith" dxfId="2834" priority="3506" operator="endsWith" text="x">
      <formula>RIGHT(AE206,LEN("x"))="x"</formula>
    </cfRule>
  </conditionalFormatting>
  <conditionalFormatting sqref="AE207">
    <cfRule type="endsWith" dxfId="2833" priority="3505" operator="endsWith" text="x">
      <formula>RIGHT(AE207,LEN("x"))="x"</formula>
    </cfRule>
  </conditionalFormatting>
  <conditionalFormatting sqref="AE208">
    <cfRule type="endsWith" dxfId="2832" priority="3504" operator="endsWith" text="x">
      <formula>RIGHT(AE208,LEN("x"))="x"</formula>
    </cfRule>
  </conditionalFormatting>
  <conditionalFormatting sqref="AE208">
    <cfRule type="endsWith" dxfId="2831" priority="3503" operator="endsWith" text="x">
      <formula>RIGHT(AE208,LEN("x"))="x"</formula>
    </cfRule>
  </conditionalFormatting>
  <conditionalFormatting sqref="AE209">
    <cfRule type="endsWith" dxfId="2830" priority="3502" operator="endsWith" text="x">
      <formula>RIGHT(AE209,LEN("x"))="x"</formula>
    </cfRule>
  </conditionalFormatting>
  <conditionalFormatting sqref="AG205">
    <cfRule type="endsWith" dxfId="2829" priority="3501" operator="endsWith" text="x">
      <formula>RIGHT(AG205,LEN("x"))="x"</formula>
    </cfRule>
  </conditionalFormatting>
  <conditionalFormatting sqref="AG205">
    <cfRule type="endsWith" dxfId="2828" priority="3500" operator="endsWith" text="x">
      <formula>RIGHT(AG205,LEN("x"))="x"</formula>
    </cfRule>
  </conditionalFormatting>
  <conditionalFormatting sqref="AG206">
    <cfRule type="endsWith" dxfId="2827" priority="3499" operator="endsWith" text="x">
      <formula>RIGHT(AG206,LEN("x"))="x"</formula>
    </cfRule>
  </conditionalFormatting>
  <conditionalFormatting sqref="AG206">
    <cfRule type="endsWith" dxfId="2826" priority="3498" operator="endsWith" text="x">
      <formula>RIGHT(AG206,LEN("x"))="x"</formula>
    </cfRule>
  </conditionalFormatting>
  <conditionalFormatting sqref="AG207">
    <cfRule type="endsWith" dxfId="2825" priority="3497" operator="endsWith" text="x">
      <formula>RIGHT(AG207,LEN("x"))="x"</formula>
    </cfRule>
  </conditionalFormatting>
  <conditionalFormatting sqref="AG207">
    <cfRule type="endsWith" dxfId="2824" priority="3496" operator="endsWith" text="x">
      <formula>RIGHT(AG207,LEN("x"))="x"</formula>
    </cfRule>
  </conditionalFormatting>
  <conditionalFormatting sqref="AG208">
    <cfRule type="endsWith" dxfId="2823" priority="3495" operator="endsWith" text="x">
      <formula>RIGHT(AG208,LEN("x"))="x"</formula>
    </cfRule>
  </conditionalFormatting>
  <conditionalFormatting sqref="AG208">
    <cfRule type="endsWith" dxfId="2822" priority="3494" operator="endsWith" text="x">
      <formula>RIGHT(AG208,LEN("x"))="x"</formula>
    </cfRule>
  </conditionalFormatting>
  <conditionalFormatting sqref="AG209">
    <cfRule type="endsWith" dxfId="2821" priority="3493" operator="endsWith" text="x">
      <formula>RIGHT(AG209,LEN("x"))="x"</formula>
    </cfRule>
  </conditionalFormatting>
  <conditionalFormatting sqref="AH205:AH209">
    <cfRule type="endsWith" dxfId="2820" priority="3492" operator="endsWith" text="x">
      <formula>RIGHT(AH205,LEN("x"))="x"</formula>
    </cfRule>
  </conditionalFormatting>
  <conditionalFormatting sqref="AH206">
    <cfRule type="endsWith" dxfId="2819" priority="3491" operator="endsWith" text="x">
      <formula>RIGHT(AH206,LEN("x"))="x"</formula>
    </cfRule>
  </conditionalFormatting>
  <conditionalFormatting sqref="AH208">
    <cfRule type="endsWith" dxfId="2818" priority="3490" operator="endsWith" text="x">
      <formula>RIGHT(AH208,LEN("x"))="x"</formula>
    </cfRule>
  </conditionalFormatting>
  <conditionalFormatting sqref="AC205:AC209">
    <cfRule type="endsWith" dxfId="2817" priority="3489" operator="endsWith" text="x">
      <formula>RIGHT(AC205,LEN("x"))="x"</formula>
    </cfRule>
  </conditionalFormatting>
  <conditionalFormatting sqref="AC206">
    <cfRule type="endsWith" dxfId="2816" priority="3488" operator="endsWith" text="x">
      <formula>RIGHT(AC206,LEN("x"))="x"</formula>
    </cfRule>
  </conditionalFormatting>
  <conditionalFormatting sqref="AC207">
    <cfRule type="endsWith" dxfId="2815" priority="3487" operator="endsWith" text="x">
      <formula>RIGHT(AC207,LEN("x"))="x"</formula>
    </cfRule>
  </conditionalFormatting>
  <conditionalFormatting sqref="AC208">
    <cfRule type="endsWith" dxfId="2814" priority="3486" operator="endsWith" text="x">
      <formula>RIGHT(AC208,LEN("x"))="x"</formula>
    </cfRule>
  </conditionalFormatting>
  <conditionalFormatting sqref="AI204:AL209">
    <cfRule type="endsWith" dxfId="2813" priority="3485" operator="endsWith" text="x">
      <formula>RIGHT(AI204,LEN("x"))="x"</formula>
    </cfRule>
  </conditionalFormatting>
  <conditionalFormatting sqref="AL205">
    <cfRule type="endsWith" dxfId="2812" priority="3484" operator="endsWith" text="x">
      <formula>RIGHT(AL205,LEN("x"))="x"</formula>
    </cfRule>
  </conditionalFormatting>
  <conditionalFormatting sqref="AB250:AH250 AB251:AC255 AE251:AE255 AG251:AH255">
    <cfRule type="endsWith" dxfId="2811" priority="3483" operator="endsWith" text="x">
      <formula>RIGHT(AB250,LEN("x"))="x"</formula>
    </cfRule>
  </conditionalFormatting>
  <conditionalFormatting sqref="AC252">
    <cfRule type="endsWith" dxfId="2810" priority="3482" operator="endsWith" text="x">
      <formula>RIGHT(AC252,LEN("x"))="x"</formula>
    </cfRule>
  </conditionalFormatting>
  <conditionalFormatting sqref="AC253">
    <cfRule type="endsWith" dxfId="2809" priority="3481" operator="endsWith" text="x">
      <formula>RIGHT(AC253,LEN("x"))="x"</formula>
    </cfRule>
  </conditionalFormatting>
  <conditionalFormatting sqref="AG251">
    <cfRule type="endsWith" dxfId="2808" priority="3480" operator="endsWith" text="x">
      <formula>RIGHT(AG251,LEN("x"))="x"</formula>
    </cfRule>
  </conditionalFormatting>
  <conditionalFormatting sqref="AH252">
    <cfRule type="endsWith" dxfId="2807" priority="3479" operator="endsWith" text="x">
      <formula>RIGHT(AH252,LEN("x"))="x"</formula>
    </cfRule>
  </conditionalFormatting>
  <conditionalFormatting sqref="AB254">
    <cfRule type="endsWith" dxfId="2806" priority="3478" operator="endsWith" text="x">
      <formula>RIGHT(AB254,LEN("x"))="x"</formula>
    </cfRule>
  </conditionalFormatting>
  <conditionalFormatting sqref="AC254 AE254 AH254">
    <cfRule type="endsWith" dxfId="2805" priority="3477" operator="endsWith" text="x">
      <formula>RIGHT(AC254,LEN("x"))="x"</formula>
    </cfRule>
  </conditionalFormatting>
  <conditionalFormatting sqref="AG254">
    <cfRule type="endsWith" dxfId="2804" priority="3476" operator="endsWith" text="x">
      <formula>RIGHT(AG254,LEN("x"))="x"</formula>
    </cfRule>
  </conditionalFormatting>
  <conditionalFormatting sqref="AF250">
    <cfRule type="endsWith" dxfId="2803" priority="3475" operator="endsWith" text="x">
      <formula>RIGHT(AF250,LEN("x"))="x"</formula>
    </cfRule>
  </conditionalFormatting>
  <conditionalFormatting sqref="AD251">
    <cfRule type="endsWith" dxfId="2802" priority="3473" operator="endsWith" text="x">
      <formula>RIGHT(AD251,LEN("x"))="x"</formula>
    </cfRule>
  </conditionalFormatting>
  <conditionalFormatting sqref="AD251">
    <cfRule type="endsWith" dxfId="2801" priority="3474" operator="endsWith" text="x">
      <formula>RIGHT(AD251,LEN("x"))="x"</formula>
    </cfRule>
  </conditionalFormatting>
  <conditionalFormatting sqref="AD252">
    <cfRule type="endsWith" dxfId="2800" priority="3472" operator="endsWith" text="x">
      <formula>RIGHT(AD252,LEN("x"))="x"</formula>
    </cfRule>
  </conditionalFormatting>
  <conditionalFormatting sqref="AD252">
    <cfRule type="endsWith" dxfId="2799" priority="3471" operator="endsWith" text="x">
      <formula>RIGHT(AD252,LEN("x"))="x"</formula>
    </cfRule>
  </conditionalFormatting>
  <conditionalFormatting sqref="AD253">
    <cfRule type="endsWith" dxfId="2798" priority="3470" operator="endsWith" text="x">
      <formula>RIGHT(AD253,LEN("x"))="x"</formula>
    </cfRule>
  </conditionalFormatting>
  <conditionalFormatting sqref="AD253">
    <cfRule type="endsWith" dxfId="2797" priority="3469" operator="endsWith" text="x">
      <formula>RIGHT(AD253,LEN("x"))="x"</formula>
    </cfRule>
  </conditionalFormatting>
  <conditionalFormatting sqref="AD254">
    <cfRule type="endsWith" dxfId="2796" priority="3468" operator="endsWith" text="x">
      <formula>RIGHT(AD254,LEN("x"))="x"</formula>
    </cfRule>
  </conditionalFormatting>
  <conditionalFormatting sqref="AD254">
    <cfRule type="endsWith" dxfId="2795" priority="3467" operator="endsWith" text="x">
      <formula>RIGHT(AD254,LEN("x"))="x"</formula>
    </cfRule>
  </conditionalFormatting>
  <conditionalFormatting sqref="AD255">
    <cfRule type="endsWith" dxfId="2794" priority="3466" operator="endsWith" text="x">
      <formula>RIGHT(AD255,LEN("x"))="x"</formula>
    </cfRule>
  </conditionalFormatting>
  <conditionalFormatting sqref="AD255">
    <cfRule type="endsWith" dxfId="2793" priority="3465" operator="endsWith" text="x">
      <formula>RIGHT(AD255,LEN("x"))="x"</formula>
    </cfRule>
  </conditionalFormatting>
  <conditionalFormatting sqref="AI250:AL255">
    <cfRule type="endsWith" dxfId="2792" priority="3464" operator="endsWith" text="x">
      <formula>RIGHT(AI250,LEN("x"))="x"</formula>
    </cfRule>
  </conditionalFormatting>
  <conditionalFormatting sqref="AL251">
    <cfRule type="endsWith" dxfId="2791" priority="3463" operator="endsWith" text="x">
      <formula>RIGHT(AL251,LEN("x"))="x"</formula>
    </cfRule>
  </conditionalFormatting>
  <conditionalFormatting sqref="AF251">
    <cfRule type="endsWith" dxfId="2790" priority="3462" operator="endsWith" text="x">
      <formula>RIGHT(AF251,LEN("x"))="x"</formula>
    </cfRule>
  </conditionalFormatting>
  <conditionalFormatting sqref="AF252">
    <cfRule type="endsWith" dxfId="2789" priority="3461" operator="endsWith" text="x">
      <formula>RIGHT(AF252,LEN("x"))="x"</formula>
    </cfRule>
  </conditionalFormatting>
  <conditionalFormatting sqref="AF253">
    <cfRule type="endsWith" dxfId="2788" priority="3460" operator="endsWith" text="x">
      <formula>RIGHT(AF253,LEN("x"))="x"</formula>
    </cfRule>
  </conditionalFormatting>
  <conditionalFormatting sqref="AF254">
    <cfRule type="endsWith" dxfId="2787" priority="3459" operator="endsWith" text="x">
      <formula>RIGHT(AF254,LEN("x"))="x"</formula>
    </cfRule>
  </conditionalFormatting>
  <conditionalFormatting sqref="AF255">
    <cfRule type="endsWith" dxfId="2786" priority="3458" operator="endsWith" text="x">
      <formula>RIGHT(AF255,LEN("x"))="x"</formula>
    </cfRule>
  </conditionalFormatting>
  <conditionalFormatting sqref="AG333">
    <cfRule type="endsWith" dxfId="2785" priority="3282" operator="endsWith" text="x">
      <formula>RIGHT(AG333,LEN("x"))="x"</formula>
    </cfRule>
  </conditionalFormatting>
  <conditionalFormatting sqref="AG334">
    <cfRule type="endsWith" dxfId="2784" priority="3281" operator="endsWith" text="x">
      <formula>RIGHT(AG334,LEN("x"))="x"</formula>
    </cfRule>
  </conditionalFormatting>
  <conditionalFormatting sqref="AG334">
    <cfRule type="endsWith" dxfId="2783" priority="3280" operator="endsWith" text="x">
      <formula>RIGHT(AG334,LEN("x"))="x"</formula>
    </cfRule>
  </conditionalFormatting>
  <conditionalFormatting sqref="AG335">
    <cfRule type="endsWith" dxfId="2782" priority="3279" operator="endsWith" text="x">
      <formula>RIGHT(AG335,LEN("x"))="x"</formula>
    </cfRule>
  </conditionalFormatting>
  <conditionalFormatting sqref="AH331:AH335">
    <cfRule type="endsWith" dxfId="2781" priority="3278" operator="endsWith" text="x">
      <formula>RIGHT(AH331,LEN("x"))="x"</formula>
    </cfRule>
  </conditionalFormatting>
  <conditionalFormatting sqref="AC333">
    <cfRule type="endsWith" dxfId="2780" priority="3273" operator="endsWith" text="x">
      <formula>RIGHT(AC333,LEN("x"))="x"</formula>
    </cfRule>
  </conditionalFormatting>
  <conditionalFormatting sqref="AC334">
    <cfRule type="endsWith" dxfId="2779" priority="3272" operator="endsWith" text="x">
      <formula>RIGHT(AC334,LEN("x"))="x"</formula>
    </cfRule>
  </conditionalFormatting>
  <conditionalFormatting sqref="AI331:AL335">
    <cfRule type="endsWith" dxfId="2778" priority="3271" operator="endsWith" text="x">
      <formula>RIGHT(AI331,LEN("x"))="x"</formula>
    </cfRule>
  </conditionalFormatting>
  <conditionalFormatting sqref="AL331">
    <cfRule type="endsWith" dxfId="2777" priority="3270" operator="endsWith" text="x">
      <formula>RIGHT(AL331,LEN("x"))="x"</formula>
    </cfRule>
  </conditionalFormatting>
  <conditionalFormatting sqref="AF334">
    <cfRule type="endsWith" dxfId="2776" priority="3296" operator="endsWith" text="x">
      <formula>RIGHT(AF334,LEN("x"))="x"</formula>
    </cfRule>
  </conditionalFormatting>
  <conditionalFormatting sqref="AF334">
    <cfRule type="endsWith" dxfId="2775" priority="3295" operator="endsWith" text="x">
      <formula>RIGHT(AF334,LEN("x"))="x"</formula>
    </cfRule>
  </conditionalFormatting>
  <conditionalFormatting sqref="AF335">
    <cfRule type="endsWith" dxfId="2774" priority="3294" operator="endsWith" text="x">
      <formula>RIGHT(AF335,LEN("x"))="x"</formula>
    </cfRule>
  </conditionalFormatting>
  <conditionalFormatting sqref="AF335">
    <cfRule type="endsWith" dxfId="2773" priority="3293" operator="endsWith" text="x">
      <formula>RIGHT(AF335,LEN("x"))="x"</formula>
    </cfRule>
  </conditionalFormatting>
  <conditionalFormatting sqref="AE332">
    <cfRule type="endsWith" dxfId="2772" priority="3292" operator="endsWith" text="x">
      <formula>RIGHT(AE332,LEN("x"))="x"</formula>
    </cfRule>
  </conditionalFormatting>
  <conditionalFormatting sqref="AE333">
    <cfRule type="endsWith" dxfId="2771" priority="3291" operator="endsWith" text="x">
      <formula>RIGHT(AE333,LEN("x"))="x"</formula>
    </cfRule>
  </conditionalFormatting>
  <conditionalFormatting sqref="AE334">
    <cfRule type="endsWith" dxfId="2770" priority="3290" operator="endsWith" text="x">
      <formula>RIGHT(AE334,LEN("x"))="x"</formula>
    </cfRule>
  </conditionalFormatting>
  <conditionalFormatting sqref="AE334">
    <cfRule type="endsWith" dxfId="2769" priority="3289" operator="endsWith" text="x">
      <formula>RIGHT(AE334,LEN("x"))="x"</formula>
    </cfRule>
  </conditionalFormatting>
  <conditionalFormatting sqref="AE335">
    <cfRule type="endsWith" dxfId="2768" priority="3288" operator="endsWith" text="x">
      <formula>RIGHT(AE335,LEN("x"))="x"</formula>
    </cfRule>
  </conditionalFormatting>
  <conditionalFormatting sqref="AG331">
    <cfRule type="endsWith" dxfId="2767" priority="3287" operator="endsWith" text="x">
      <formula>RIGHT(AG331,LEN("x"))="x"</formula>
    </cfRule>
  </conditionalFormatting>
  <conditionalFormatting sqref="AG332">
    <cfRule type="endsWith" dxfId="2766" priority="3285" operator="endsWith" text="x">
      <formula>RIGHT(AG332,LEN("x"))="x"</formula>
    </cfRule>
  </conditionalFormatting>
  <conditionalFormatting sqref="AG331">
    <cfRule type="endsWith" dxfId="2765" priority="3286" operator="endsWith" text="x">
      <formula>RIGHT(AG331,LEN("x"))="x"</formula>
    </cfRule>
  </conditionalFormatting>
  <conditionalFormatting sqref="AG332">
    <cfRule type="endsWith" dxfId="2764" priority="3284" operator="endsWith" text="x">
      <formula>RIGHT(AG332,LEN("x"))="x"</formula>
    </cfRule>
  </conditionalFormatting>
  <conditionalFormatting sqref="AG333">
    <cfRule type="endsWith" dxfId="2763" priority="3283" operator="endsWith" text="x">
      <formula>RIGHT(AG333,LEN("x"))="x"</formula>
    </cfRule>
  </conditionalFormatting>
  <conditionalFormatting sqref="AH332">
    <cfRule type="endsWith" dxfId="2762" priority="3277" operator="endsWith" text="x">
      <formula>RIGHT(AH332,LEN("x"))="x"</formula>
    </cfRule>
  </conditionalFormatting>
  <conditionalFormatting sqref="AH334">
    <cfRule type="endsWith" dxfId="2761" priority="3276" operator="endsWith" text="x">
      <formula>RIGHT(AH334,LEN("x"))="x"</formula>
    </cfRule>
  </conditionalFormatting>
  <conditionalFormatting sqref="AC331:AC335">
    <cfRule type="endsWith" dxfId="2760" priority="3275" operator="endsWith" text="x">
      <formula>RIGHT(AC331,LEN("x"))="x"</formula>
    </cfRule>
  </conditionalFormatting>
  <conditionalFormatting sqref="AC332">
    <cfRule type="endsWith" dxfId="2759" priority="3274" operator="endsWith" text="x">
      <formula>RIGHT(AC332,LEN("x"))="x"</formula>
    </cfRule>
  </conditionalFormatting>
  <conditionalFormatting sqref="AB306:AL306 AB307:AE311 AG307:AL311">
    <cfRule type="endsWith" dxfId="2758" priority="3457" operator="endsWith" text="x">
      <formula>RIGHT(AB306,LEN("x"))="x"</formula>
    </cfRule>
  </conditionalFormatting>
  <conditionalFormatting sqref="AB306:AH306 AB307:AC311 AE307:AE311 AG307:AH311">
    <cfRule type="endsWith" dxfId="2757" priority="3456" operator="endsWith" text="x">
      <formula>RIGHT(AB306,LEN("x"))="x"</formula>
    </cfRule>
  </conditionalFormatting>
  <conditionalFormatting sqref="AC308">
    <cfRule type="endsWith" dxfId="2756" priority="3455" operator="endsWith" text="x">
      <formula>RIGHT(AC308,LEN("x"))="x"</formula>
    </cfRule>
  </conditionalFormatting>
  <conditionalFormatting sqref="AC309">
    <cfRule type="endsWith" dxfId="2755" priority="3454" operator="endsWith" text="x">
      <formula>RIGHT(AC309,LEN("x"))="x"</formula>
    </cfRule>
  </conditionalFormatting>
  <conditionalFormatting sqref="AG307">
    <cfRule type="endsWith" dxfId="2754" priority="3453" operator="endsWith" text="x">
      <formula>RIGHT(AG307,LEN("x"))="x"</formula>
    </cfRule>
  </conditionalFormatting>
  <conditionalFormatting sqref="AH308">
    <cfRule type="endsWith" dxfId="2753" priority="3452" operator="endsWith" text="x">
      <formula>RIGHT(AH308,LEN("x"))="x"</formula>
    </cfRule>
  </conditionalFormatting>
  <conditionalFormatting sqref="AB310">
    <cfRule type="endsWith" dxfId="2752" priority="3451" operator="endsWith" text="x">
      <formula>RIGHT(AB310,LEN("x"))="x"</formula>
    </cfRule>
  </conditionalFormatting>
  <conditionalFormatting sqref="AC310 AE310 AH310">
    <cfRule type="endsWith" dxfId="2751" priority="3450" operator="endsWith" text="x">
      <formula>RIGHT(AC310,LEN("x"))="x"</formula>
    </cfRule>
  </conditionalFormatting>
  <conditionalFormatting sqref="AG310">
    <cfRule type="endsWith" dxfId="2750" priority="3449" operator="endsWith" text="x">
      <formula>RIGHT(AG310,LEN("x"))="x"</formula>
    </cfRule>
  </conditionalFormatting>
  <conditionalFormatting sqref="AF306">
    <cfRule type="endsWith" dxfId="2749" priority="3448" operator="endsWith" text="x">
      <formula>RIGHT(AF306,LEN("x"))="x"</formula>
    </cfRule>
  </conditionalFormatting>
  <conditionalFormatting sqref="AD307">
    <cfRule type="endsWith" dxfId="2748" priority="3446" operator="endsWith" text="x">
      <formula>RIGHT(AD307,LEN("x"))="x"</formula>
    </cfRule>
  </conditionalFormatting>
  <conditionalFormatting sqref="AD307">
    <cfRule type="endsWith" dxfId="2747" priority="3447" operator="endsWith" text="x">
      <formula>RIGHT(AD307,LEN("x"))="x"</formula>
    </cfRule>
  </conditionalFormatting>
  <conditionalFormatting sqref="AD308">
    <cfRule type="endsWith" dxfId="2746" priority="3445" operator="endsWith" text="x">
      <formula>RIGHT(AD308,LEN("x"))="x"</formula>
    </cfRule>
  </conditionalFormatting>
  <conditionalFormatting sqref="AD308">
    <cfRule type="endsWith" dxfId="2745" priority="3444" operator="endsWith" text="x">
      <formula>RIGHT(AD308,LEN("x"))="x"</formula>
    </cfRule>
  </conditionalFormatting>
  <conditionalFormatting sqref="AD309">
    <cfRule type="endsWith" dxfId="2744" priority="3443" operator="endsWith" text="x">
      <formula>RIGHT(AD309,LEN("x"))="x"</formula>
    </cfRule>
  </conditionalFormatting>
  <conditionalFormatting sqref="AD309">
    <cfRule type="endsWith" dxfId="2743" priority="3442" operator="endsWith" text="x">
      <formula>RIGHT(AD309,LEN("x"))="x"</formula>
    </cfRule>
  </conditionalFormatting>
  <conditionalFormatting sqref="AD310">
    <cfRule type="endsWith" dxfId="2742" priority="3441" operator="endsWith" text="x">
      <formula>RIGHT(AD310,LEN("x"))="x"</formula>
    </cfRule>
  </conditionalFormatting>
  <conditionalFormatting sqref="AD310">
    <cfRule type="endsWith" dxfId="2741" priority="3440" operator="endsWith" text="x">
      <formula>RIGHT(AD310,LEN("x"))="x"</formula>
    </cfRule>
  </conditionalFormatting>
  <conditionalFormatting sqref="AD311">
    <cfRule type="endsWith" dxfId="2740" priority="3439" operator="endsWith" text="x">
      <formula>RIGHT(AD311,LEN("x"))="x"</formula>
    </cfRule>
  </conditionalFormatting>
  <conditionalFormatting sqref="AD311">
    <cfRule type="endsWith" dxfId="2739" priority="3438" operator="endsWith" text="x">
      <formula>RIGHT(AD311,LEN("x"))="x"</formula>
    </cfRule>
  </conditionalFormatting>
  <conditionalFormatting sqref="AI306:AL311">
    <cfRule type="endsWith" dxfId="2738" priority="3437" operator="endsWith" text="x">
      <formula>RIGHT(AI306,LEN("x"))="x"</formula>
    </cfRule>
  </conditionalFormatting>
  <conditionalFormatting sqref="AL307">
    <cfRule type="endsWith" dxfId="2737" priority="3436" operator="endsWith" text="x">
      <formula>RIGHT(AL307,LEN("x"))="x"</formula>
    </cfRule>
  </conditionalFormatting>
  <conditionalFormatting sqref="AF318">
    <cfRule type="endsWith" dxfId="2736" priority="3354" operator="endsWith" text="x">
      <formula>RIGHT(AF318,LEN("x"))="x"</formula>
    </cfRule>
  </conditionalFormatting>
  <conditionalFormatting sqref="AF318">
    <cfRule type="endsWith" dxfId="2735" priority="3355" operator="endsWith" text="x">
      <formula>RIGHT(AF318,LEN("x"))="x"</formula>
    </cfRule>
  </conditionalFormatting>
  <conditionalFormatting sqref="AF317">
    <cfRule type="endsWith" dxfId="2734" priority="3356" operator="endsWith" text="x">
      <formula>RIGHT(AF317,LEN("x"))="x"</formula>
    </cfRule>
  </conditionalFormatting>
  <conditionalFormatting sqref="AF317">
    <cfRule type="endsWith" dxfId="2733" priority="3357" operator="endsWith" text="x">
      <formula>RIGHT(AF317,LEN("x"))="x"</formula>
    </cfRule>
  </conditionalFormatting>
  <conditionalFormatting sqref="AF316">
    <cfRule type="endsWith" dxfId="2732" priority="3358" operator="endsWith" text="x">
      <formula>RIGHT(AF316,LEN("x"))="x"</formula>
    </cfRule>
  </conditionalFormatting>
  <conditionalFormatting sqref="AB331:AL335">
    <cfRule type="endsWith" dxfId="2731" priority="3313" operator="endsWith" text="x">
      <formula>RIGHT(AB331,LEN("x"))="x"</formula>
    </cfRule>
  </conditionalFormatting>
  <conditionalFormatting sqref="AD331">
    <cfRule type="endsWith" dxfId="2730" priority="3312" operator="endsWith" text="x">
      <formula>RIGHT(AD331,LEN("x"))="x"</formula>
    </cfRule>
  </conditionalFormatting>
  <conditionalFormatting sqref="AD331">
    <cfRule type="endsWith" dxfId="2729" priority="3311" operator="endsWith" text="x">
      <formula>RIGHT(AD331,LEN("x"))="x"</formula>
    </cfRule>
  </conditionalFormatting>
  <conditionalFormatting sqref="AD332">
    <cfRule type="endsWith" dxfId="2728" priority="3310" operator="endsWith" text="x">
      <formula>RIGHT(AD332,LEN("x"))="x"</formula>
    </cfRule>
  </conditionalFormatting>
  <conditionalFormatting sqref="AD332">
    <cfRule type="endsWith" dxfId="2727" priority="3309" operator="endsWith" text="x">
      <formula>RIGHT(AD332,LEN("x"))="x"</formula>
    </cfRule>
  </conditionalFormatting>
  <conditionalFormatting sqref="AD333">
    <cfRule type="endsWith" dxfId="2726" priority="3308" operator="endsWith" text="x">
      <formula>RIGHT(AD333,LEN("x"))="x"</formula>
    </cfRule>
  </conditionalFormatting>
  <conditionalFormatting sqref="AD333">
    <cfRule type="endsWith" dxfId="2725" priority="3307" operator="endsWith" text="x">
      <formula>RIGHT(AD333,LEN("x"))="x"</formula>
    </cfRule>
  </conditionalFormatting>
  <conditionalFormatting sqref="AD334">
    <cfRule type="endsWith" dxfId="2724" priority="3306" operator="endsWith" text="x">
      <formula>RIGHT(AD334,LEN("x"))="x"</formula>
    </cfRule>
  </conditionalFormatting>
  <conditionalFormatting sqref="AD334">
    <cfRule type="endsWith" dxfId="2723" priority="3305" operator="endsWith" text="x">
      <formula>RIGHT(AD334,LEN("x"))="x"</formula>
    </cfRule>
  </conditionalFormatting>
  <conditionalFormatting sqref="AD335">
    <cfRule type="endsWith" dxfId="2722" priority="3304" operator="endsWith" text="x">
      <formula>RIGHT(AD335,LEN("x"))="x"</formula>
    </cfRule>
  </conditionalFormatting>
  <conditionalFormatting sqref="AD335">
    <cfRule type="endsWith" dxfId="2721" priority="3303" operator="endsWith" text="x">
      <formula>RIGHT(AD335,LEN("x"))="x"</formula>
    </cfRule>
  </conditionalFormatting>
  <conditionalFormatting sqref="AF331">
    <cfRule type="endsWith" dxfId="2720" priority="3302" operator="endsWith" text="x">
      <formula>RIGHT(AF331,LEN("x"))="x"</formula>
    </cfRule>
  </conditionalFormatting>
  <conditionalFormatting sqref="AF331">
    <cfRule type="endsWith" dxfId="2719" priority="3301" operator="endsWith" text="x">
      <formula>RIGHT(AF331,LEN("x"))="x"</formula>
    </cfRule>
  </conditionalFormatting>
  <conditionalFormatting sqref="AF332">
    <cfRule type="endsWith" dxfId="2718" priority="3300" operator="endsWith" text="x">
      <formula>RIGHT(AF332,LEN("x"))="x"</formula>
    </cfRule>
  </conditionalFormatting>
  <conditionalFormatting sqref="AF332">
    <cfRule type="endsWith" dxfId="2717" priority="3299" operator="endsWith" text="x">
      <formula>RIGHT(AF332,LEN("x"))="x"</formula>
    </cfRule>
  </conditionalFormatting>
  <conditionalFormatting sqref="AF333">
    <cfRule type="endsWith" dxfId="2716" priority="3298" operator="endsWith" text="x">
      <formula>RIGHT(AF333,LEN("x"))="x"</formula>
    </cfRule>
  </conditionalFormatting>
  <conditionalFormatting sqref="AF333">
    <cfRule type="endsWith" dxfId="2715" priority="3297" operator="endsWith" text="x">
      <formula>RIGHT(AF333,LEN("x"))="x"</formula>
    </cfRule>
  </conditionalFormatting>
  <conditionalFormatting sqref="AB283:AL287">
    <cfRule type="endsWith" dxfId="2714" priority="3435" operator="endsWith" text="x">
      <formula>RIGHT(AB283,LEN("x"))="x"</formula>
    </cfRule>
  </conditionalFormatting>
  <conditionalFormatting sqref="AD283">
    <cfRule type="endsWith" dxfId="2713" priority="3434" operator="endsWith" text="x">
      <formula>RIGHT(AD283,LEN("x"))="x"</formula>
    </cfRule>
  </conditionalFormatting>
  <conditionalFormatting sqref="AD283">
    <cfRule type="endsWith" dxfId="2712" priority="3433" operator="endsWith" text="x">
      <formula>RIGHT(AD283,LEN("x"))="x"</formula>
    </cfRule>
  </conditionalFormatting>
  <conditionalFormatting sqref="AD284">
    <cfRule type="endsWith" dxfId="2711" priority="3432" operator="endsWith" text="x">
      <formula>RIGHT(AD284,LEN("x"))="x"</formula>
    </cfRule>
  </conditionalFormatting>
  <conditionalFormatting sqref="AD284">
    <cfRule type="endsWith" dxfId="2710" priority="3431" operator="endsWith" text="x">
      <formula>RIGHT(AD284,LEN("x"))="x"</formula>
    </cfRule>
  </conditionalFormatting>
  <conditionalFormatting sqref="AD285">
    <cfRule type="endsWith" dxfId="2709" priority="3430" operator="endsWith" text="x">
      <formula>RIGHT(AD285,LEN("x"))="x"</formula>
    </cfRule>
  </conditionalFormatting>
  <conditionalFormatting sqref="AD285">
    <cfRule type="endsWith" dxfId="2708" priority="3429" operator="endsWith" text="x">
      <formula>RIGHT(AD285,LEN("x"))="x"</formula>
    </cfRule>
  </conditionalFormatting>
  <conditionalFormatting sqref="AD286">
    <cfRule type="endsWith" dxfId="2707" priority="3428" operator="endsWith" text="x">
      <formula>RIGHT(AD286,LEN("x"))="x"</formula>
    </cfRule>
  </conditionalFormatting>
  <conditionalFormatting sqref="AD286">
    <cfRule type="endsWith" dxfId="2706" priority="3427" operator="endsWith" text="x">
      <formula>RIGHT(AD286,LEN("x"))="x"</formula>
    </cfRule>
  </conditionalFormatting>
  <conditionalFormatting sqref="AD287">
    <cfRule type="endsWith" dxfId="2705" priority="3426" operator="endsWith" text="x">
      <formula>RIGHT(AD287,LEN("x"))="x"</formula>
    </cfRule>
  </conditionalFormatting>
  <conditionalFormatting sqref="AD287">
    <cfRule type="endsWith" dxfId="2704" priority="3425" operator="endsWith" text="x">
      <formula>RIGHT(AD287,LEN("x"))="x"</formula>
    </cfRule>
  </conditionalFormatting>
  <conditionalFormatting sqref="AF283">
    <cfRule type="endsWith" dxfId="2703" priority="3424" operator="endsWith" text="x">
      <formula>RIGHT(AF283,LEN("x"))="x"</formula>
    </cfRule>
  </conditionalFormatting>
  <conditionalFormatting sqref="AF283">
    <cfRule type="endsWith" dxfId="2702" priority="3423" operator="endsWith" text="x">
      <formula>RIGHT(AF283,LEN("x"))="x"</formula>
    </cfRule>
  </conditionalFormatting>
  <conditionalFormatting sqref="AF284">
    <cfRule type="endsWith" dxfId="2701" priority="3422" operator="endsWith" text="x">
      <formula>RIGHT(AF284,LEN("x"))="x"</formula>
    </cfRule>
  </conditionalFormatting>
  <conditionalFormatting sqref="AF284">
    <cfRule type="endsWith" dxfId="2700" priority="3421" operator="endsWith" text="x">
      <formula>RIGHT(AF284,LEN("x"))="x"</formula>
    </cfRule>
  </conditionalFormatting>
  <conditionalFormatting sqref="AF285">
    <cfRule type="endsWith" dxfId="2699" priority="3420" operator="endsWith" text="x">
      <formula>RIGHT(AF285,LEN("x"))="x"</formula>
    </cfRule>
  </conditionalFormatting>
  <conditionalFormatting sqref="AF285">
    <cfRule type="endsWith" dxfId="2698" priority="3419" operator="endsWith" text="x">
      <formula>RIGHT(AF285,LEN("x"))="x"</formula>
    </cfRule>
  </conditionalFormatting>
  <conditionalFormatting sqref="AF286">
    <cfRule type="endsWith" dxfId="2697" priority="3418" operator="endsWith" text="x">
      <formula>RIGHT(AF286,LEN("x"))="x"</formula>
    </cfRule>
  </conditionalFormatting>
  <conditionalFormatting sqref="AF286">
    <cfRule type="endsWith" dxfId="2696" priority="3417" operator="endsWith" text="x">
      <formula>RIGHT(AF286,LEN("x"))="x"</formula>
    </cfRule>
  </conditionalFormatting>
  <conditionalFormatting sqref="AF287">
    <cfRule type="endsWith" dxfId="2695" priority="3416" operator="endsWith" text="x">
      <formula>RIGHT(AF287,LEN("x"))="x"</formula>
    </cfRule>
  </conditionalFormatting>
  <conditionalFormatting sqref="AF287">
    <cfRule type="endsWith" dxfId="2694" priority="3415" operator="endsWith" text="x">
      <formula>RIGHT(AF287,LEN("x"))="x"</formula>
    </cfRule>
  </conditionalFormatting>
  <conditionalFormatting sqref="AE284">
    <cfRule type="endsWith" dxfId="2693" priority="3414" operator="endsWith" text="x">
      <formula>RIGHT(AE284,LEN("x"))="x"</formula>
    </cfRule>
  </conditionalFormatting>
  <conditionalFormatting sqref="AE285">
    <cfRule type="endsWith" dxfId="2692" priority="3413" operator="endsWith" text="x">
      <formula>RIGHT(AE285,LEN("x"))="x"</formula>
    </cfRule>
  </conditionalFormatting>
  <conditionalFormatting sqref="AE286">
    <cfRule type="endsWith" dxfId="2691" priority="3412" operator="endsWith" text="x">
      <formula>RIGHT(AE286,LEN("x"))="x"</formula>
    </cfRule>
  </conditionalFormatting>
  <conditionalFormatting sqref="AE286">
    <cfRule type="endsWith" dxfId="2690" priority="3411" operator="endsWith" text="x">
      <formula>RIGHT(AE286,LEN("x"))="x"</formula>
    </cfRule>
  </conditionalFormatting>
  <conditionalFormatting sqref="AE287">
    <cfRule type="endsWith" dxfId="2689" priority="3410" operator="endsWith" text="x">
      <formula>RIGHT(AE287,LEN("x"))="x"</formula>
    </cfRule>
  </conditionalFormatting>
  <conditionalFormatting sqref="AG283">
    <cfRule type="endsWith" dxfId="2688" priority="3409" operator="endsWith" text="x">
      <formula>RIGHT(AG283,LEN("x"))="x"</formula>
    </cfRule>
  </conditionalFormatting>
  <conditionalFormatting sqref="AG283">
    <cfRule type="endsWith" dxfId="2687" priority="3408" operator="endsWith" text="x">
      <formula>RIGHT(AG283,LEN("x"))="x"</formula>
    </cfRule>
  </conditionalFormatting>
  <conditionalFormatting sqref="AG284">
    <cfRule type="endsWith" dxfId="2686" priority="3407" operator="endsWith" text="x">
      <formula>RIGHT(AG284,LEN("x"))="x"</formula>
    </cfRule>
  </conditionalFormatting>
  <conditionalFormatting sqref="AG284">
    <cfRule type="endsWith" dxfId="2685" priority="3406" operator="endsWith" text="x">
      <formula>RIGHT(AG284,LEN("x"))="x"</formula>
    </cfRule>
  </conditionalFormatting>
  <conditionalFormatting sqref="AG285">
    <cfRule type="endsWith" dxfId="2684" priority="3405" operator="endsWith" text="x">
      <formula>RIGHT(AG285,LEN("x"))="x"</formula>
    </cfRule>
  </conditionalFormatting>
  <conditionalFormatting sqref="AG285">
    <cfRule type="endsWith" dxfId="2683" priority="3404" operator="endsWith" text="x">
      <formula>RIGHT(AG285,LEN("x"))="x"</formula>
    </cfRule>
  </conditionalFormatting>
  <conditionalFormatting sqref="AG286">
    <cfRule type="endsWith" dxfId="2682" priority="3403" operator="endsWith" text="x">
      <formula>RIGHT(AG286,LEN("x"))="x"</formula>
    </cfRule>
  </conditionalFormatting>
  <conditionalFormatting sqref="AG286">
    <cfRule type="endsWith" dxfId="2681" priority="3402" operator="endsWith" text="x">
      <formula>RIGHT(AG286,LEN("x"))="x"</formula>
    </cfRule>
  </conditionalFormatting>
  <conditionalFormatting sqref="AG287">
    <cfRule type="endsWith" dxfId="2680" priority="3401" operator="endsWith" text="x">
      <formula>RIGHT(AG287,LEN("x"))="x"</formula>
    </cfRule>
  </conditionalFormatting>
  <conditionalFormatting sqref="AH283:AH287">
    <cfRule type="endsWith" dxfId="2679" priority="3400" operator="endsWith" text="x">
      <formula>RIGHT(AH283,LEN("x"))="x"</formula>
    </cfRule>
  </conditionalFormatting>
  <conditionalFormatting sqref="AH284">
    <cfRule type="endsWith" dxfId="2678" priority="3399" operator="endsWith" text="x">
      <formula>RIGHT(AH284,LEN("x"))="x"</formula>
    </cfRule>
  </conditionalFormatting>
  <conditionalFormatting sqref="AH286">
    <cfRule type="endsWith" dxfId="2677" priority="3398" operator="endsWith" text="x">
      <formula>RIGHT(AH286,LEN("x"))="x"</formula>
    </cfRule>
  </conditionalFormatting>
  <conditionalFormatting sqref="AC283:AC287">
    <cfRule type="endsWith" dxfId="2676" priority="3397" operator="endsWith" text="x">
      <formula>RIGHT(AC283,LEN("x"))="x"</formula>
    </cfRule>
  </conditionalFormatting>
  <conditionalFormatting sqref="AC284">
    <cfRule type="endsWith" dxfId="2675" priority="3396" operator="endsWith" text="x">
      <formula>RIGHT(AC284,LEN("x"))="x"</formula>
    </cfRule>
  </conditionalFormatting>
  <conditionalFormatting sqref="AC285">
    <cfRule type="endsWith" dxfId="2674" priority="3395" operator="endsWith" text="x">
      <formula>RIGHT(AC285,LEN("x"))="x"</formula>
    </cfRule>
  </conditionalFormatting>
  <conditionalFormatting sqref="AC286">
    <cfRule type="endsWith" dxfId="2673" priority="3394" operator="endsWith" text="x">
      <formula>RIGHT(AC286,LEN("x"))="x"</formula>
    </cfRule>
  </conditionalFormatting>
  <conditionalFormatting sqref="AI283:AL287">
    <cfRule type="endsWith" dxfId="2672" priority="3393" operator="endsWith" text="x">
      <formula>RIGHT(AI283,LEN("x"))="x"</formula>
    </cfRule>
  </conditionalFormatting>
  <conditionalFormatting sqref="AL283">
    <cfRule type="endsWith" dxfId="2671" priority="3392" operator="endsWith" text="x">
      <formula>RIGHT(AL283,LEN("x"))="x"</formula>
    </cfRule>
  </conditionalFormatting>
  <conditionalFormatting sqref="AF307">
    <cfRule type="endsWith" dxfId="2670" priority="3391" operator="endsWith" text="x">
      <formula>RIGHT(AF307,LEN("x"))="x"</formula>
    </cfRule>
  </conditionalFormatting>
  <conditionalFormatting sqref="AF307">
    <cfRule type="endsWith" dxfId="2669" priority="3390" operator="endsWith" text="x">
      <formula>RIGHT(AF307,LEN("x"))="x"</formula>
    </cfRule>
  </conditionalFormatting>
  <conditionalFormatting sqref="AF308">
    <cfRule type="endsWith" dxfId="2668" priority="3389" operator="endsWith" text="x">
      <formula>RIGHT(AF308,LEN("x"))="x"</formula>
    </cfRule>
  </conditionalFormatting>
  <conditionalFormatting sqref="AF308">
    <cfRule type="endsWith" dxfId="2667" priority="3388" operator="endsWith" text="x">
      <formula>RIGHT(AF308,LEN("x"))="x"</formula>
    </cfRule>
  </conditionalFormatting>
  <conditionalFormatting sqref="AF309">
    <cfRule type="endsWith" dxfId="2666" priority="3387" operator="endsWith" text="x">
      <formula>RIGHT(AF309,LEN("x"))="x"</formula>
    </cfRule>
  </conditionalFormatting>
  <conditionalFormatting sqref="AF309">
    <cfRule type="endsWith" dxfId="2665" priority="3386" operator="endsWith" text="x">
      <formula>RIGHT(AF309,LEN("x"))="x"</formula>
    </cfRule>
  </conditionalFormatting>
  <conditionalFormatting sqref="AF310">
    <cfRule type="endsWith" dxfId="2664" priority="3385" operator="endsWith" text="x">
      <formula>RIGHT(AF310,LEN("x"))="x"</formula>
    </cfRule>
  </conditionalFormatting>
  <conditionalFormatting sqref="AF310">
    <cfRule type="endsWith" dxfId="2663" priority="3384" operator="endsWith" text="x">
      <formula>RIGHT(AF310,LEN("x"))="x"</formula>
    </cfRule>
  </conditionalFormatting>
  <conditionalFormatting sqref="AF311">
    <cfRule type="endsWith" dxfId="2662" priority="3383" operator="endsWith" text="x">
      <formula>RIGHT(AF311,LEN("x"))="x"</formula>
    </cfRule>
  </conditionalFormatting>
  <conditionalFormatting sqref="AF311">
    <cfRule type="endsWith" dxfId="2661" priority="3382" operator="endsWith" text="x">
      <formula>RIGHT(AF311,LEN("x"))="x"</formula>
    </cfRule>
  </conditionalFormatting>
  <conditionalFormatting sqref="AB314:AL314 AB315:AE319 AH315:AL319">
    <cfRule type="endsWith" dxfId="2660" priority="3381" operator="endsWith" text="x">
      <formula>RIGHT(AB314,LEN("x"))="x"</formula>
    </cfRule>
  </conditionalFormatting>
  <conditionalFormatting sqref="AB314:AH314 AB315:AC319 AE315:AE319 AH315:AH319">
    <cfRule type="endsWith" dxfId="2659" priority="3380" operator="endsWith" text="x">
      <formula>RIGHT(AB314,LEN("x"))="x"</formula>
    </cfRule>
  </conditionalFormatting>
  <conditionalFormatting sqref="AC316">
    <cfRule type="endsWith" dxfId="2658" priority="3379" operator="endsWith" text="x">
      <formula>RIGHT(AC316,LEN("x"))="x"</formula>
    </cfRule>
  </conditionalFormatting>
  <conditionalFormatting sqref="AC317">
    <cfRule type="endsWith" dxfId="2657" priority="3378" operator="endsWith" text="x">
      <formula>RIGHT(AC317,LEN("x"))="x"</formula>
    </cfRule>
  </conditionalFormatting>
  <conditionalFormatting sqref="AH316">
    <cfRule type="endsWith" dxfId="2656" priority="3377" operator="endsWith" text="x">
      <formula>RIGHT(AH316,LEN("x"))="x"</formula>
    </cfRule>
  </conditionalFormatting>
  <conditionalFormatting sqref="AB318">
    <cfRule type="endsWith" dxfId="2655" priority="3376" operator="endsWith" text="x">
      <formula>RIGHT(AB318,LEN("x"))="x"</formula>
    </cfRule>
  </conditionalFormatting>
  <conditionalFormatting sqref="AC318 AE318 AH318">
    <cfRule type="endsWith" dxfId="2654" priority="3375" operator="endsWith" text="x">
      <formula>RIGHT(AC318,LEN("x"))="x"</formula>
    </cfRule>
  </conditionalFormatting>
  <conditionalFormatting sqref="AF314">
    <cfRule type="endsWith" dxfId="2653" priority="3374" operator="endsWith" text="x">
      <formula>RIGHT(AF314,LEN("x"))="x"</formula>
    </cfRule>
  </conditionalFormatting>
  <conditionalFormatting sqref="AD315">
    <cfRule type="endsWith" dxfId="2652" priority="3372" operator="endsWith" text="x">
      <formula>RIGHT(AD315,LEN("x"))="x"</formula>
    </cfRule>
  </conditionalFormatting>
  <conditionalFormatting sqref="AD315">
    <cfRule type="endsWith" dxfId="2651" priority="3373" operator="endsWith" text="x">
      <formula>RIGHT(AD315,LEN("x"))="x"</formula>
    </cfRule>
  </conditionalFormatting>
  <conditionalFormatting sqref="AD316">
    <cfRule type="endsWith" dxfId="2650" priority="3371" operator="endsWith" text="x">
      <formula>RIGHT(AD316,LEN("x"))="x"</formula>
    </cfRule>
  </conditionalFormatting>
  <conditionalFormatting sqref="AD316">
    <cfRule type="endsWith" dxfId="2649" priority="3370" operator="endsWith" text="x">
      <formula>RIGHT(AD316,LEN("x"))="x"</formula>
    </cfRule>
  </conditionalFormatting>
  <conditionalFormatting sqref="AD317">
    <cfRule type="endsWith" dxfId="2648" priority="3369" operator="endsWith" text="x">
      <formula>RIGHT(AD317,LEN("x"))="x"</formula>
    </cfRule>
  </conditionalFormatting>
  <conditionalFormatting sqref="AD317">
    <cfRule type="endsWith" dxfId="2647" priority="3368" operator="endsWith" text="x">
      <formula>RIGHT(AD317,LEN("x"))="x"</formula>
    </cfRule>
  </conditionalFormatting>
  <conditionalFormatting sqref="AD318">
    <cfRule type="endsWith" dxfId="2646" priority="3367" operator="endsWith" text="x">
      <formula>RIGHT(AD318,LEN("x"))="x"</formula>
    </cfRule>
  </conditionalFormatting>
  <conditionalFormatting sqref="AD318">
    <cfRule type="endsWith" dxfId="2645" priority="3366" operator="endsWith" text="x">
      <formula>RIGHT(AD318,LEN("x"))="x"</formula>
    </cfRule>
  </conditionalFormatting>
  <conditionalFormatting sqref="AD319">
    <cfRule type="endsWith" dxfId="2644" priority="3365" operator="endsWith" text="x">
      <formula>RIGHT(AD319,LEN("x"))="x"</formula>
    </cfRule>
  </conditionalFormatting>
  <conditionalFormatting sqref="AD319">
    <cfRule type="endsWith" dxfId="2643" priority="3364" operator="endsWith" text="x">
      <formula>RIGHT(AD319,LEN("x"))="x"</formula>
    </cfRule>
  </conditionalFormatting>
  <conditionalFormatting sqref="AI314:AL319">
    <cfRule type="endsWith" dxfId="2642" priority="3363" operator="endsWith" text="x">
      <formula>RIGHT(AI314,LEN("x"))="x"</formula>
    </cfRule>
  </conditionalFormatting>
  <conditionalFormatting sqref="AL315">
    <cfRule type="endsWith" dxfId="2641" priority="3362" operator="endsWith" text="x">
      <formula>RIGHT(AL315,LEN("x"))="x"</formula>
    </cfRule>
  </conditionalFormatting>
  <conditionalFormatting sqref="AF315">
    <cfRule type="endsWith" dxfId="2640" priority="3361" operator="endsWith" text="x">
      <formula>RIGHT(AF315,LEN("x"))="x"</formula>
    </cfRule>
  </conditionalFormatting>
  <conditionalFormatting sqref="AF315">
    <cfRule type="endsWith" dxfId="2639" priority="3360" operator="endsWith" text="x">
      <formula>RIGHT(AF315,LEN("x"))="x"</formula>
    </cfRule>
  </conditionalFormatting>
  <conditionalFormatting sqref="AF316">
    <cfRule type="endsWith" dxfId="2638" priority="3359" operator="endsWith" text="x">
      <formula>RIGHT(AF316,LEN("x"))="x"</formula>
    </cfRule>
  </conditionalFormatting>
  <conditionalFormatting sqref="AF319">
    <cfRule type="endsWith" dxfId="2637" priority="3353" operator="endsWith" text="x">
      <formula>RIGHT(AF319,LEN("x"))="x"</formula>
    </cfRule>
  </conditionalFormatting>
  <conditionalFormatting sqref="AF319">
    <cfRule type="endsWith" dxfId="2636" priority="3352" operator="endsWith" text="x">
      <formula>RIGHT(AF319,LEN("x"))="x"</formula>
    </cfRule>
  </conditionalFormatting>
  <conditionalFormatting sqref="AG308">
    <cfRule type="endsWith" dxfId="2635" priority="3351" operator="endsWith" text="x">
      <formula>RIGHT(AG308,LEN("x"))="x"</formula>
    </cfRule>
  </conditionalFormatting>
  <conditionalFormatting sqref="AG309">
    <cfRule type="endsWith" dxfId="2634" priority="3350" operator="endsWith" text="x">
      <formula>RIGHT(AG309,LEN("x"))="x"</formula>
    </cfRule>
  </conditionalFormatting>
  <conditionalFormatting sqref="AG310">
    <cfRule type="endsWith" dxfId="2633" priority="3349" operator="endsWith" text="x">
      <formula>RIGHT(AG310,LEN("x"))="x"</formula>
    </cfRule>
  </conditionalFormatting>
  <conditionalFormatting sqref="AG311">
    <cfRule type="endsWith" dxfId="2632" priority="3348" operator="endsWith" text="x">
      <formula>RIGHT(AG311,LEN("x"))="x"</formula>
    </cfRule>
  </conditionalFormatting>
  <conditionalFormatting sqref="AG315:AG319">
    <cfRule type="endsWith" dxfId="2631" priority="3347" operator="endsWith" text="x">
      <formula>RIGHT(AG315,LEN("x"))="x"</formula>
    </cfRule>
  </conditionalFormatting>
  <conditionalFormatting sqref="AG315:AG319">
    <cfRule type="endsWith" dxfId="2630" priority="3346" operator="endsWith" text="x">
      <formula>RIGHT(AG315,LEN("x"))="x"</formula>
    </cfRule>
  </conditionalFormatting>
  <conditionalFormatting sqref="AG315">
    <cfRule type="endsWith" dxfId="2629" priority="3345" operator="endsWith" text="x">
      <formula>RIGHT(AG315,LEN("x"))="x"</formula>
    </cfRule>
  </conditionalFormatting>
  <conditionalFormatting sqref="AG318">
    <cfRule type="endsWith" dxfId="2628" priority="3344" operator="endsWith" text="x">
      <formula>RIGHT(AG318,LEN("x"))="x"</formula>
    </cfRule>
  </conditionalFormatting>
  <conditionalFormatting sqref="AG316">
    <cfRule type="endsWith" dxfId="2627" priority="3343" operator="endsWith" text="x">
      <formula>RIGHT(AG316,LEN("x"))="x"</formula>
    </cfRule>
  </conditionalFormatting>
  <conditionalFormatting sqref="AG317">
    <cfRule type="endsWith" dxfId="2626" priority="3342" operator="endsWith" text="x">
      <formula>RIGHT(AG317,LEN("x"))="x"</formula>
    </cfRule>
  </conditionalFormatting>
  <conditionalFormatting sqref="AG318">
    <cfRule type="endsWith" dxfId="2625" priority="3341" operator="endsWith" text="x">
      <formula>RIGHT(AG318,LEN("x"))="x"</formula>
    </cfRule>
  </conditionalFormatting>
  <conditionalFormatting sqref="AG319">
    <cfRule type="endsWith" dxfId="2624" priority="3340" operator="endsWith" text="x">
      <formula>RIGHT(AG319,LEN("x"))="x"</formula>
    </cfRule>
  </conditionalFormatting>
  <conditionalFormatting sqref="AB322:AH322 AB323:AC327 AE323:AE327 AG323:AH327">
    <cfRule type="endsWith" dxfId="2623" priority="3339" operator="endsWith" text="x">
      <formula>RIGHT(AB322,LEN("x"))="x"</formula>
    </cfRule>
  </conditionalFormatting>
  <conditionalFormatting sqref="AC324">
    <cfRule type="endsWith" dxfId="2622" priority="3338" operator="endsWith" text="x">
      <formula>RIGHT(AC324,LEN("x"))="x"</formula>
    </cfRule>
  </conditionalFormatting>
  <conditionalFormatting sqref="AC325">
    <cfRule type="endsWith" dxfId="2621" priority="3337" operator="endsWith" text="x">
      <formula>RIGHT(AC325,LEN("x"))="x"</formula>
    </cfRule>
  </conditionalFormatting>
  <conditionalFormatting sqref="AG323">
    <cfRule type="endsWith" dxfId="2620" priority="3336" operator="endsWith" text="x">
      <formula>RIGHT(AG323,LEN("x"))="x"</formula>
    </cfRule>
  </conditionalFormatting>
  <conditionalFormatting sqref="AH324">
    <cfRule type="endsWith" dxfId="2619" priority="3335" operator="endsWith" text="x">
      <formula>RIGHT(AH324,LEN("x"))="x"</formula>
    </cfRule>
  </conditionalFormatting>
  <conditionalFormatting sqref="AB326">
    <cfRule type="endsWith" dxfId="2618" priority="3334" operator="endsWith" text="x">
      <formula>RIGHT(AB326,LEN("x"))="x"</formula>
    </cfRule>
  </conditionalFormatting>
  <conditionalFormatting sqref="AC326 AE326 AH326">
    <cfRule type="endsWith" dxfId="2617" priority="3333" operator="endsWith" text="x">
      <formula>RIGHT(AC326,LEN("x"))="x"</formula>
    </cfRule>
  </conditionalFormatting>
  <conditionalFormatting sqref="AG326">
    <cfRule type="endsWith" dxfId="2616" priority="3332" operator="endsWith" text="x">
      <formula>RIGHT(AG326,LEN("x"))="x"</formula>
    </cfRule>
  </conditionalFormatting>
  <conditionalFormatting sqref="AF322">
    <cfRule type="endsWith" dxfId="2615" priority="3331" operator="endsWith" text="x">
      <formula>RIGHT(AF322,LEN("x"))="x"</formula>
    </cfRule>
  </conditionalFormatting>
  <conditionalFormatting sqref="AD323">
    <cfRule type="endsWith" dxfId="2614" priority="3329" operator="endsWith" text="x">
      <formula>RIGHT(AD323,LEN("x"))="x"</formula>
    </cfRule>
  </conditionalFormatting>
  <conditionalFormatting sqref="AD323">
    <cfRule type="endsWith" dxfId="2613" priority="3330" operator="endsWith" text="x">
      <formula>RIGHT(AD323,LEN("x"))="x"</formula>
    </cfRule>
  </conditionalFormatting>
  <conditionalFormatting sqref="AD324">
    <cfRule type="endsWith" dxfId="2612" priority="3328" operator="endsWith" text="x">
      <formula>RIGHT(AD324,LEN("x"))="x"</formula>
    </cfRule>
  </conditionalFormatting>
  <conditionalFormatting sqref="AD324">
    <cfRule type="endsWith" dxfId="2611" priority="3327" operator="endsWith" text="x">
      <formula>RIGHT(AD324,LEN("x"))="x"</formula>
    </cfRule>
  </conditionalFormatting>
  <conditionalFormatting sqref="AD325">
    <cfRule type="endsWith" dxfId="2610" priority="3326" operator="endsWith" text="x">
      <formula>RIGHT(AD325,LEN("x"))="x"</formula>
    </cfRule>
  </conditionalFormatting>
  <conditionalFormatting sqref="AD325">
    <cfRule type="endsWith" dxfId="2609" priority="3325" operator="endsWith" text="x">
      <formula>RIGHT(AD325,LEN("x"))="x"</formula>
    </cfRule>
  </conditionalFormatting>
  <conditionalFormatting sqref="AD326">
    <cfRule type="endsWith" dxfId="2608" priority="3324" operator="endsWith" text="x">
      <formula>RIGHT(AD326,LEN("x"))="x"</formula>
    </cfRule>
  </conditionalFormatting>
  <conditionalFormatting sqref="AD326">
    <cfRule type="endsWith" dxfId="2607" priority="3323" operator="endsWith" text="x">
      <formula>RIGHT(AD326,LEN("x"))="x"</formula>
    </cfRule>
  </conditionalFormatting>
  <conditionalFormatting sqref="AD327">
    <cfRule type="endsWith" dxfId="2606" priority="3322" operator="endsWith" text="x">
      <formula>RIGHT(AD327,LEN("x"))="x"</formula>
    </cfRule>
  </conditionalFormatting>
  <conditionalFormatting sqref="AD327">
    <cfRule type="endsWith" dxfId="2605" priority="3321" operator="endsWith" text="x">
      <formula>RIGHT(AD327,LEN("x"))="x"</formula>
    </cfRule>
  </conditionalFormatting>
  <conditionalFormatting sqref="AI322:AL327">
    <cfRule type="endsWith" dxfId="2604" priority="3320" operator="endsWith" text="x">
      <formula>RIGHT(AI322,LEN("x"))="x"</formula>
    </cfRule>
  </conditionalFormatting>
  <conditionalFormatting sqref="AL323">
    <cfRule type="endsWith" dxfId="2603" priority="3319" operator="endsWith" text="x">
      <formula>RIGHT(AL323,LEN("x"))="x"</formula>
    </cfRule>
  </conditionalFormatting>
  <conditionalFormatting sqref="AF323">
    <cfRule type="endsWith" dxfId="2602" priority="3318" operator="endsWith" text="x">
      <formula>RIGHT(AF323,LEN("x"))="x"</formula>
    </cfRule>
  </conditionalFormatting>
  <conditionalFormatting sqref="AF324">
    <cfRule type="endsWith" dxfId="2601" priority="3317" operator="endsWith" text="x">
      <formula>RIGHT(AF324,LEN("x"))="x"</formula>
    </cfRule>
  </conditionalFormatting>
  <conditionalFormatting sqref="AF325">
    <cfRule type="endsWith" dxfId="2600" priority="3316" operator="endsWith" text="x">
      <formula>RIGHT(AF325,LEN("x"))="x"</formula>
    </cfRule>
  </conditionalFormatting>
  <conditionalFormatting sqref="AF326">
    <cfRule type="endsWith" dxfId="2599" priority="3315" operator="endsWith" text="x">
      <formula>RIGHT(AF326,LEN("x"))="x"</formula>
    </cfRule>
  </conditionalFormatting>
  <conditionalFormatting sqref="AF327">
    <cfRule type="endsWith" dxfId="2598" priority="3314" operator="endsWith" text="x">
      <formula>RIGHT(AF327,LEN("x"))="x"</formula>
    </cfRule>
  </conditionalFormatting>
  <conditionalFormatting sqref="AC416">
    <cfRule type="endsWith" dxfId="2597" priority="3269" operator="endsWith" text="x">
      <formula>RIGHT(AC416,LEN("x"))="x"</formula>
    </cfRule>
  </conditionalFormatting>
  <conditionalFormatting sqref="AB417:AB421">
    <cfRule type="endsWith" dxfId="2596" priority="3268" operator="endsWith" text="x">
      <formula>RIGHT(AB417,LEN("x"))="x"</formula>
    </cfRule>
  </conditionalFormatting>
  <conditionalFormatting sqref="AB420:AB421">
    <cfRule type="endsWith" dxfId="2595" priority="3267" operator="endsWith" text="x">
      <formula>RIGHT(AB420,LEN("x"))="x"</formula>
    </cfRule>
  </conditionalFormatting>
  <conditionalFormatting sqref="AB417:AB419">
    <cfRule type="endsWith" dxfId="2594" priority="3266" operator="endsWith" text="x">
      <formula>RIGHT(AB417,LEN("x"))="x"</formula>
    </cfRule>
  </conditionalFormatting>
  <conditionalFormatting sqref="AE417">
    <cfRule type="endsWith" dxfId="2593" priority="3265" operator="endsWith" text="x">
      <formula>RIGHT(AE417,LEN("x"))="x"</formula>
    </cfRule>
  </conditionalFormatting>
  <conditionalFormatting sqref="AE417">
    <cfRule type="endsWith" dxfId="2592" priority="3264" operator="endsWith" text="x">
      <formula>RIGHT(AE417,LEN("x"))="x"</formula>
    </cfRule>
  </conditionalFormatting>
  <conditionalFormatting sqref="AG417">
    <cfRule type="endsWith" dxfId="2591" priority="3263" operator="endsWith" text="x">
      <formula>RIGHT(AG417,LEN("x"))="x"</formula>
    </cfRule>
  </conditionalFormatting>
  <conditionalFormatting sqref="AG417">
    <cfRule type="endsWith" dxfId="2590" priority="3262" operator="endsWith" text="x">
      <formula>RIGHT(AG417,LEN("x"))="x"</formula>
    </cfRule>
  </conditionalFormatting>
  <conditionalFormatting sqref="AC154:AC158">
    <cfRule type="endsWith" dxfId="2589" priority="3200" operator="endsWith" text="x">
      <formula>RIGHT(AC154,LEN("x"))="x"</formula>
    </cfRule>
  </conditionalFormatting>
  <conditionalFormatting sqref="AH155">
    <cfRule type="endsWith" dxfId="2588" priority="3202" operator="endsWith" text="x">
      <formula>RIGHT(AH155,LEN("x"))="x"</formula>
    </cfRule>
  </conditionalFormatting>
  <conditionalFormatting sqref="AH157">
    <cfRule type="endsWith" dxfId="2587" priority="3201" operator="endsWith" text="x">
      <formula>RIGHT(AH157,LEN("x"))="x"</formula>
    </cfRule>
  </conditionalFormatting>
  <conditionalFormatting sqref="AC155">
    <cfRule type="endsWith" dxfId="2586" priority="3199" operator="endsWith" text="x">
      <formula>RIGHT(AC155,LEN("x"))="x"</formula>
    </cfRule>
  </conditionalFormatting>
  <conditionalFormatting sqref="AI416:AI417">
    <cfRule type="endsWith" dxfId="2585" priority="3254" operator="endsWith" text="x">
      <formula>RIGHT(AI416,LEN("x"))="x"</formula>
    </cfRule>
  </conditionalFormatting>
  <conditionalFormatting sqref="AD414">
    <cfRule type="endsWith" dxfId="2584" priority="3246" operator="endsWith" text="x">
      <formula>RIGHT(AD414,LEN("x"))="x"</formula>
    </cfRule>
  </conditionalFormatting>
  <conditionalFormatting sqref="AH419 AH417">
    <cfRule type="endsWith" dxfId="2583" priority="3259" operator="endsWith" text="x">
      <formula>RIGHT(AH417,LEN("x"))="x"</formula>
    </cfRule>
  </conditionalFormatting>
  <conditionalFormatting sqref="AH419 AH417 AH421">
    <cfRule type="endsWith" dxfId="2582" priority="3261" operator="endsWith" text="x">
      <formula>RIGHT(AH417,LEN("x"))="x"</formula>
    </cfRule>
  </conditionalFormatting>
  <conditionalFormatting sqref="AH421">
    <cfRule type="endsWith" dxfId="2581" priority="3260" operator="endsWith" text="x">
      <formula>RIGHT(AH421,LEN("x"))="x"</formula>
    </cfRule>
  </conditionalFormatting>
  <conditionalFormatting sqref="AH418">
    <cfRule type="endsWith" dxfId="2580" priority="3258" operator="endsWith" text="x">
      <formula>RIGHT(AH418,LEN("x"))="x"</formula>
    </cfRule>
  </conditionalFormatting>
  <conditionalFormatting sqref="AH418">
    <cfRule type="endsWith" dxfId="2579" priority="3257" operator="endsWith" text="x">
      <formula>RIGHT(AH418,LEN("x"))="x"</formula>
    </cfRule>
  </conditionalFormatting>
  <conditionalFormatting sqref="AH420">
    <cfRule type="endsWith" dxfId="2578" priority="3256" operator="endsWith" text="x">
      <formula>RIGHT(AH420,LEN("x"))="x"</formula>
    </cfRule>
  </conditionalFormatting>
  <conditionalFormatting sqref="AH420">
    <cfRule type="endsWith" dxfId="2577" priority="3255" operator="endsWith" text="x">
      <formula>RIGHT(AH420,LEN("x"))="x"</formula>
    </cfRule>
  </conditionalFormatting>
  <conditionalFormatting sqref="AI412:AL412">
    <cfRule type="endsWith" dxfId="2576" priority="3252" operator="endsWith" text="x">
      <formula>RIGHT(AI412,LEN("x"))="x"</formula>
    </cfRule>
  </conditionalFormatting>
  <conditionalFormatting sqref="AB412:AL412">
    <cfRule type="endsWith" dxfId="2575" priority="3253" operator="endsWith" text="x">
      <formula>RIGHT(AB412,LEN("x"))="x"</formula>
    </cfRule>
  </conditionalFormatting>
  <conditionalFormatting sqref="AF412">
    <cfRule type="endsWith" dxfId="2574" priority="3251" operator="endsWith" text="x">
      <formula>RIGHT(AF412,LEN("x"))="x"</formula>
    </cfRule>
  </conditionalFormatting>
  <conditionalFormatting sqref="AD417">
    <cfRule type="endsWith" dxfId="2573" priority="3244" operator="endsWith" text="x">
      <formula>RIGHT(AD417,LEN("x"))="x"</formula>
    </cfRule>
  </conditionalFormatting>
  <conditionalFormatting sqref="AF413">
    <cfRule type="endsWith" dxfId="2572" priority="3243" operator="endsWith" text="x">
      <formula>RIGHT(AF413,LEN("x"))="x"</formula>
    </cfRule>
  </conditionalFormatting>
  <conditionalFormatting sqref="AF415">
    <cfRule type="endsWith" dxfId="2571" priority="3241" operator="endsWith" text="x">
      <formula>RIGHT(AF415,LEN("x"))="x"</formula>
    </cfRule>
  </conditionalFormatting>
  <conditionalFormatting sqref="AF417">
    <cfRule type="endsWith" dxfId="2570" priority="3240" operator="endsWith" text="x">
      <formula>RIGHT(AF417,LEN("x"))="x"</formula>
    </cfRule>
  </conditionalFormatting>
  <conditionalFormatting sqref="AB413:AC415 AE413:AE415 AD415 AF415 AG413:AL415">
    <cfRule type="endsWith" dxfId="2569" priority="3250" operator="endsWith" text="x">
      <formula>RIGHT(AB413,LEN("x"))="x"</formula>
    </cfRule>
  </conditionalFormatting>
  <conditionalFormatting sqref="AI413:AK413 AI414:AL415">
    <cfRule type="endsWith" dxfId="2568" priority="3249" operator="endsWith" text="x">
      <formula>RIGHT(AI413,LEN("x"))="x"</formula>
    </cfRule>
  </conditionalFormatting>
  <conditionalFormatting sqref="AL413">
    <cfRule type="endsWith" dxfId="2567" priority="3248" operator="endsWith" text="x">
      <formula>RIGHT(AL413,LEN("x"))="x"</formula>
    </cfRule>
  </conditionalFormatting>
  <conditionalFormatting sqref="AD413">
    <cfRule type="endsWith" dxfId="2566" priority="3247" operator="endsWith" text="x">
      <formula>RIGHT(AD413,LEN("x"))="x"</formula>
    </cfRule>
  </conditionalFormatting>
  <conditionalFormatting sqref="AD415">
    <cfRule type="endsWith" dxfId="2565" priority="3245" operator="endsWith" text="x">
      <formula>RIGHT(AD415,LEN("x"))="x"</formula>
    </cfRule>
  </conditionalFormatting>
  <conditionalFormatting sqref="AF414">
    <cfRule type="endsWith" dxfId="2564" priority="3242" operator="endsWith" text="x">
      <formula>RIGHT(AF414,LEN("x"))="x"</formula>
    </cfRule>
  </conditionalFormatting>
  <conditionalFormatting sqref="AH415">
    <cfRule type="endsWith" dxfId="2563" priority="3239" operator="endsWith" text="x">
      <formula>RIGHT(AH415,LEN("x"))="x"</formula>
    </cfRule>
  </conditionalFormatting>
  <conditionalFormatting sqref="AB154:AL158">
    <cfRule type="endsWith" dxfId="2562" priority="3238" operator="endsWith" text="x">
      <formula>RIGHT(AB154,LEN("x"))="x"</formula>
    </cfRule>
  </conditionalFormatting>
  <conditionalFormatting sqref="AD154">
    <cfRule type="endsWith" dxfId="2561" priority="3237" operator="endsWith" text="x">
      <formula>RIGHT(AD154,LEN("x"))="x"</formula>
    </cfRule>
  </conditionalFormatting>
  <conditionalFormatting sqref="AD154">
    <cfRule type="endsWith" dxfId="2560" priority="3236" operator="endsWith" text="x">
      <formula>RIGHT(AD154,LEN("x"))="x"</formula>
    </cfRule>
  </conditionalFormatting>
  <conditionalFormatting sqref="AD155">
    <cfRule type="endsWith" dxfId="2559" priority="3235" operator="endsWith" text="x">
      <formula>RIGHT(AD155,LEN("x"))="x"</formula>
    </cfRule>
  </conditionalFormatting>
  <conditionalFormatting sqref="AD155">
    <cfRule type="endsWith" dxfId="2558" priority="3234" operator="endsWith" text="x">
      <formula>RIGHT(AD155,LEN("x"))="x"</formula>
    </cfRule>
  </conditionalFormatting>
  <conditionalFormatting sqref="AD156">
    <cfRule type="endsWith" dxfId="2557" priority="3233" operator="endsWith" text="x">
      <formula>RIGHT(AD156,LEN("x"))="x"</formula>
    </cfRule>
  </conditionalFormatting>
  <conditionalFormatting sqref="AD156">
    <cfRule type="endsWith" dxfId="2556" priority="3232" operator="endsWith" text="x">
      <formula>RIGHT(AD156,LEN("x"))="x"</formula>
    </cfRule>
  </conditionalFormatting>
  <conditionalFormatting sqref="AD157">
    <cfRule type="endsWith" dxfId="2555" priority="3231" operator="endsWith" text="x">
      <formula>RIGHT(AD157,LEN("x"))="x"</formula>
    </cfRule>
  </conditionalFormatting>
  <conditionalFormatting sqref="AD157">
    <cfRule type="endsWith" dxfId="2554" priority="3230" operator="endsWith" text="x">
      <formula>RIGHT(AD157,LEN("x"))="x"</formula>
    </cfRule>
  </conditionalFormatting>
  <conditionalFormatting sqref="AD158">
    <cfRule type="endsWith" dxfId="2553" priority="3229" operator="endsWith" text="x">
      <formula>RIGHT(AD158,LEN("x"))="x"</formula>
    </cfRule>
  </conditionalFormatting>
  <conditionalFormatting sqref="AD158">
    <cfRule type="endsWith" dxfId="2552" priority="3228" operator="endsWith" text="x">
      <formula>RIGHT(AD158,LEN("x"))="x"</formula>
    </cfRule>
  </conditionalFormatting>
  <conditionalFormatting sqref="AF154">
    <cfRule type="endsWith" dxfId="2551" priority="3227" operator="endsWith" text="x">
      <formula>RIGHT(AF154,LEN("x"))="x"</formula>
    </cfRule>
  </conditionalFormatting>
  <conditionalFormatting sqref="AF154">
    <cfRule type="endsWith" dxfId="2550" priority="3226" operator="endsWith" text="x">
      <formula>RIGHT(AF154,LEN("x"))="x"</formula>
    </cfRule>
  </conditionalFormatting>
  <conditionalFormatting sqref="AF155">
    <cfRule type="endsWith" dxfId="2549" priority="3225" operator="endsWith" text="x">
      <formula>RIGHT(AF155,LEN("x"))="x"</formula>
    </cfRule>
  </conditionalFormatting>
  <conditionalFormatting sqref="AF155">
    <cfRule type="endsWith" dxfId="2548" priority="3224" operator="endsWith" text="x">
      <formula>RIGHT(AF155,LEN("x"))="x"</formula>
    </cfRule>
  </conditionalFormatting>
  <conditionalFormatting sqref="AF156">
    <cfRule type="endsWith" dxfId="2547" priority="3223" operator="endsWith" text="x">
      <formula>RIGHT(AF156,LEN("x"))="x"</formula>
    </cfRule>
  </conditionalFormatting>
  <conditionalFormatting sqref="AF156">
    <cfRule type="endsWith" dxfId="2546" priority="3222" operator="endsWith" text="x">
      <formula>RIGHT(AF156,LEN("x"))="x"</formula>
    </cfRule>
  </conditionalFormatting>
  <conditionalFormatting sqref="AF157">
    <cfRule type="endsWith" dxfId="2545" priority="3221" operator="endsWith" text="x">
      <formula>RIGHT(AF157,LEN("x"))="x"</formula>
    </cfRule>
  </conditionalFormatting>
  <conditionalFormatting sqref="AF157">
    <cfRule type="endsWith" dxfId="2544" priority="3220" operator="endsWith" text="x">
      <formula>RIGHT(AF157,LEN("x"))="x"</formula>
    </cfRule>
  </conditionalFormatting>
  <conditionalFormatting sqref="AF158">
    <cfRule type="endsWith" dxfId="2543" priority="3219" operator="endsWith" text="x">
      <formula>RIGHT(AF158,LEN("x"))="x"</formula>
    </cfRule>
  </conditionalFormatting>
  <conditionalFormatting sqref="AF158">
    <cfRule type="endsWith" dxfId="2542" priority="3218" operator="endsWith" text="x">
      <formula>RIGHT(AF158,LEN("x"))="x"</formula>
    </cfRule>
  </conditionalFormatting>
  <conditionalFormatting sqref="AE155">
    <cfRule type="endsWith" dxfId="2541" priority="3217" operator="endsWith" text="x">
      <formula>RIGHT(AE155,LEN("x"))="x"</formula>
    </cfRule>
  </conditionalFormatting>
  <conditionalFormatting sqref="AE156">
    <cfRule type="endsWith" dxfId="2540" priority="3216" operator="endsWith" text="x">
      <formula>RIGHT(AE156,LEN("x"))="x"</formula>
    </cfRule>
  </conditionalFormatting>
  <conditionalFormatting sqref="AE157">
    <cfRule type="endsWith" dxfId="2539" priority="3215" operator="endsWith" text="x">
      <formula>RIGHT(AE157,LEN("x"))="x"</formula>
    </cfRule>
  </conditionalFormatting>
  <conditionalFormatting sqref="AE157">
    <cfRule type="endsWith" dxfId="2538" priority="3214" operator="endsWith" text="x">
      <formula>RIGHT(AE157,LEN("x"))="x"</formula>
    </cfRule>
  </conditionalFormatting>
  <conditionalFormatting sqref="AE158">
    <cfRule type="endsWith" dxfId="2537" priority="3213" operator="endsWith" text="x">
      <formula>RIGHT(AE158,LEN("x"))="x"</formula>
    </cfRule>
  </conditionalFormatting>
  <conditionalFormatting sqref="AG154">
    <cfRule type="endsWith" dxfId="2536" priority="3212" operator="endsWith" text="x">
      <formula>RIGHT(AG154,LEN("x"))="x"</formula>
    </cfRule>
  </conditionalFormatting>
  <conditionalFormatting sqref="AG154">
    <cfRule type="endsWith" dxfId="2535" priority="3211" operator="endsWith" text="x">
      <formula>RIGHT(AG154,LEN("x"))="x"</formula>
    </cfRule>
  </conditionalFormatting>
  <conditionalFormatting sqref="AG155">
    <cfRule type="endsWith" dxfId="2534" priority="3210" operator="endsWith" text="x">
      <formula>RIGHT(AG155,LEN("x"))="x"</formula>
    </cfRule>
  </conditionalFormatting>
  <conditionalFormatting sqref="AG155">
    <cfRule type="endsWith" dxfId="2533" priority="3209" operator="endsWith" text="x">
      <formula>RIGHT(AG155,LEN("x"))="x"</formula>
    </cfRule>
  </conditionalFormatting>
  <conditionalFormatting sqref="AG156">
    <cfRule type="endsWith" dxfId="2532" priority="3208" operator="endsWith" text="x">
      <formula>RIGHT(AG156,LEN("x"))="x"</formula>
    </cfRule>
  </conditionalFormatting>
  <conditionalFormatting sqref="AG156">
    <cfRule type="endsWith" dxfId="2531" priority="3207" operator="endsWith" text="x">
      <formula>RIGHT(AG156,LEN("x"))="x"</formula>
    </cfRule>
  </conditionalFormatting>
  <conditionalFormatting sqref="AG157">
    <cfRule type="endsWith" dxfId="2530" priority="3206" operator="endsWith" text="x">
      <formula>RIGHT(AG157,LEN("x"))="x"</formula>
    </cfRule>
  </conditionalFormatting>
  <conditionalFormatting sqref="AG157">
    <cfRule type="endsWith" dxfId="2529" priority="3205" operator="endsWith" text="x">
      <formula>RIGHT(AG157,LEN("x"))="x"</formula>
    </cfRule>
  </conditionalFormatting>
  <conditionalFormatting sqref="AG158">
    <cfRule type="endsWith" dxfId="2528" priority="3204" operator="endsWith" text="x">
      <formula>RIGHT(AG158,LEN("x"))="x"</formula>
    </cfRule>
  </conditionalFormatting>
  <conditionalFormatting sqref="AH154:AH158">
    <cfRule type="endsWith" dxfId="2527" priority="3203" operator="endsWith" text="x">
      <formula>RIGHT(AH154,LEN("x"))="x"</formula>
    </cfRule>
  </conditionalFormatting>
  <conditionalFormatting sqref="AC156">
    <cfRule type="endsWith" dxfId="2526" priority="3198" operator="endsWith" text="x">
      <formula>RIGHT(AC156,LEN("x"))="x"</formula>
    </cfRule>
  </conditionalFormatting>
  <conditionalFormatting sqref="AC157">
    <cfRule type="endsWith" dxfId="2525" priority="3197" operator="endsWith" text="x">
      <formula>RIGHT(AC157,LEN("x"))="x"</formula>
    </cfRule>
  </conditionalFormatting>
  <conditionalFormatting sqref="AI154:AL158">
    <cfRule type="endsWith" dxfId="2524" priority="3196" operator="endsWith" text="x">
      <formula>RIGHT(AI154,LEN("x"))="x"</formula>
    </cfRule>
  </conditionalFormatting>
  <conditionalFormatting sqref="AL154">
    <cfRule type="endsWith" dxfId="2523" priority="3195" operator="endsWith" text="x">
      <formula>RIGHT(AL154,LEN("x"))="x"</formula>
    </cfRule>
  </conditionalFormatting>
  <conditionalFormatting sqref="AB154:AL158">
    <cfRule type="endsWith" dxfId="2522" priority="3194" operator="endsWith" text="x">
      <formula>RIGHT(AB154,LEN("x"))="x"</formula>
    </cfRule>
  </conditionalFormatting>
  <conditionalFormatting sqref="AD154">
    <cfRule type="endsWith" dxfId="2521" priority="3193" operator="endsWith" text="x">
      <formula>RIGHT(AD154,LEN("x"))="x"</formula>
    </cfRule>
  </conditionalFormatting>
  <conditionalFormatting sqref="AD154">
    <cfRule type="endsWith" dxfId="2520" priority="3192" operator="endsWith" text="x">
      <formula>RIGHT(AD154,LEN("x"))="x"</formula>
    </cfRule>
  </conditionalFormatting>
  <conditionalFormatting sqref="AD155">
    <cfRule type="endsWith" dxfId="2519" priority="3191" operator="endsWith" text="x">
      <formula>RIGHT(AD155,LEN("x"))="x"</formula>
    </cfRule>
  </conditionalFormatting>
  <conditionalFormatting sqref="AD155">
    <cfRule type="endsWith" dxfId="2518" priority="3190" operator="endsWith" text="x">
      <formula>RIGHT(AD155,LEN("x"))="x"</formula>
    </cfRule>
  </conditionalFormatting>
  <conditionalFormatting sqref="AD156">
    <cfRule type="endsWith" dxfId="2517" priority="3189" operator="endsWith" text="x">
      <formula>RIGHT(AD156,LEN("x"))="x"</formula>
    </cfRule>
  </conditionalFormatting>
  <conditionalFormatting sqref="AD156">
    <cfRule type="endsWith" dxfId="2516" priority="3188" operator="endsWith" text="x">
      <formula>RIGHT(AD156,LEN("x"))="x"</formula>
    </cfRule>
  </conditionalFormatting>
  <conditionalFormatting sqref="AD157">
    <cfRule type="endsWith" dxfId="2515" priority="3187" operator="endsWith" text="x">
      <formula>RIGHT(AD157,LEN("x"))="x"</formula>
    </cfRule>
  </conditionalFormatting>
  <conditionalFormatting sqref="AD157">
    <cfRule type="endsWith" dxfId="2514" priority="3186" operator="endsWith" text="x">
      <formula>RIGHT(AD157,LEN("x"))="x"</formula>
    </cfRule>
  </conditionalFormatting>
  <conditionalFormatting sqref="AD158">
    <cfRule type="endsWith" dxfId="2513" priority="3185" operator="endsWith" text="x">
      <formula>RIGHT(AD158,LEN("x"))="x"</formula>
    </cfRule>
  </conditionalFormatting>
  <conditionalFormatting sqref="AD158">
    <cfRule type="endsWith" dxfId="2512" priority="3184" operator="endsWith" text="x">
      <formula>RIGHT(AD158,LEN("x"))="x"</formula>
    </cfRule>
  </conditionalFormatting>
  <conditionalFormatting sqref="AF154">
    <cfRule type="endsWith" dxfId="2511" priority="3183" operator="endsWith" text="x">
      <formula>RIGHT(AF154,LEN("x"))="x"</formula>
    </cfRule>
  </conditionalFormatting>
  <conditionalFormatting sqref="AF154">
    <cfRule type="endsWith" dxfId="2510" priority="3182" operator="endsWith" text="x">
      <formula>RIGHT(AF154,LEN("x"))="x"</formula>
    </cfRule>
  </conditionalFormatting>
  <conditionalFormatting sqref="AF155">
    <cfRule type="endsWith" dxfId="2509" priority="3181" operator="endsWith" text="x">
      <formula>RIGHT(AF155,LEN("x"))="x"</formula>
    </cfRule>
  </conditionalFormatting>
  <conditionalFormatting sqref="AF155">
    <cfRule type="endsWith" dxfId="2508" priority="3180" operator="endsWith" text="x">
      <formula>RIGHT(AF155,LEN("x"))="x"</formula>
    </cfRule>
  </conditionalFormatting>
  <conditionalFormatting sqref="AF156">
    <cfRule type="endsWith" dxfId="2507" priority="3179" operator="endsWith" text="x">
      <formula>RIGHT(AF156,LEN("x"))="x"</formula>
    </cfRule>
  </conditionalFormatting>
  <conditionalFormatting sqref="AF156">
    <cfRule type="endsWith" dxfId="2506" priority="3178" operator="endsWith" text="x">
      <formula>RIGHT(AF156,LEN("x"))="x"</formula>
    </cfRule>
  </conditionalFormatting>
  <conditionalFormatting sqref="AF157">
    <cfRule type="endsWith" dxfId="2505" priority="3177" operator="endsWith" text="x">
      <formula>RIGHT(AF157,LEN("x"))="x"</formula>
    </cfRule>
  </conditionalFormatting>
  <conditionalFormatting sqref="AF157">
    <cfRule type="endsWith" dxfId="2504" priority="3176" operator="endsWith" text="x">
      <formula>RIGHT(AF157,LEN("x"))="x"</formula>
    </cfRule>
  </conditionalFormatting>
  <conditionalFormatting sqref="AF158">
    <cfRule type="endsWith" dxfId="2503" priority="3175" operator="endsWith" text="x">
      <formula>RIGHT(AF158,LEN("x"))="x"</formula>
    </cfRule>
  </conditionalFormatting>
  <conditionalFormatting sqref="AF158">
    <cfRule type="endsWith" dxfId="2502" priority="3174" operator="endsWith" text="x">
      <formula>RIGHT(AF158,LEN("x"))="x"</formula>
    </cfRule>
  </conditionalFormatting>
  <conditionalFormatting sqref="AE155">
    <cfRule type="endsWith" dxfId="2501" priority="3173" operator="endsWith" text="x">
      <formula>RIGHT(AE155,LEN("x"))="x"</formula>
    </cfRule>
  </conditionalFormatting>
  <conditionalFormatting sqref="AE156">
    <cfRule type="endsWith" dxfId="2500" priority="3172" operator="endsWith" text="x">
      <formula>RIGHT(AE156,LEN("x"))="x"</formula>
    </cfRule>
  </conditionalFormatting>
  <conditionalFormatting sqref="AE157">
    <cfRule type="endsWith" dxfId="2499" priority="3171" operator="endsWith" text="x">
      <formula>RIGHT(AE157,LEN("x"))="x"</formula>
    </cfRule>
  </conditionalFormatting>
  <conditionalFormatting sqref="AE157">
    <cfRule type="endsWith" dxfId="2498" priority="3170" operator="endsWith" text="x">
      <formula>RIGHT(AE157,LEN("x"))="x"</formula>
    </cfRule>
  </conditionalFormatting>
  <conditionalFormatting sqref="AE158">
    <cfRule type="endsWith" dxfId="2497" priority="3169" operator="endsWith" text="x">
      <formula>RIGHT(AE158,LEN("x"))="x"</formula>
    </cfRule>
  </conditionalFormatting>
  <conditionalFormatting sqref="AG154">
    <cfRule type="endsWith" dxfId="2496" priority="3168" operator="endsWith" text="x">
      <formula>RIGHT(AG154,LEN("x"))="x"</formula>
    </cfRule>
  </conditionalFormatting>
  <conditionalFormatting sqref="AG154">
    <cfRule type="endsWith" dxfId="2495" priority="3167" operator="endsWith" text="x">
      <formula>RIGHT(AG154,LEN("x"))="x"</formula>
    </cfRule>
  </conditionalFormatting>
  <conditionalFormatting sqref="AG155">
    <cfRule type="endsWith" dxfId="2494" priority="3166" operator="endsWith" text="x">
      <formula>RIGHT(AG155,LEN("x"))="x"</formula>
    </cfRule>
  </conditionalFormatting>
  <conditionalFormatting sqref="AG155">
    <cfRule type="endsWith" dxfId="2493" priority="3165" operator="endsWith" text="x">
      <formula>RIGHT(AG155,LEN("x"))="x"</formula>
    </cfRule>
  </conditionalFormatting>
  <conditionalFormatting sqref="AG156">
    <cfRule type="endsWith" dxfId="2492" priority="3164" operator="endsWith" text="x">
      <formula>RIGHT(AG156,LEN("x"))="x"</formula>
    </cfRule>
  </conditionalFormatting>
  <conditionalFormatting sqref="AG156">
    <cfRule type="endsWith" dxfId="2491" priority="3163" operator="endsWith" text="x">
      <formula>RIGHT(AG156,LEN("x"))="x"</formula>
    </cfRule>
  </conditionalFormatting>
  <conditionalFormatting sqref="AG157">
    <cfRule type="endsWith" dxfId="2490" priority="3162" operator="endsWith" text="x">
      <formula>RIGHT(AG157,LEN("x"))="x"</formula>
    </cfRule>
  </conditionalFormatting>
  <conditionalFormatting sqref="AG157">
    <cfRule type="endsWith" dxfId="2489" priority="3161" operator="endsWith" text="x">
      <formula>RIGHT(AG157,LEN("x"))="x"</formula>
    </cfRule>
  </conditionalFormatting>
  <conditionalFormatting sqref="AG158">
    <cfRule type="endsWith" dxfId="2488" priority="3160" operator="endsWith" text="x">
      <formula>RIGHT(AG158,LEN("x"))="x"</formula>
    </cfRule>
  </conditionalFormatting>
  <conditionalFormatting sqref="AH154:AH158">
    <cfRule type="endsWith" dxfId="2487" priority="3159" operator="endsWith" text="x">
      <formula>RIGHT(AH154,LEN("x"))="x"</formula>
    </cfRule>
  </conditionalFormatting>
  <conditionalFormatting sqref="AH155">
    <cfRule type="endsWith" dxfId="2486" priority="3158" operator="endsWith" text="x">
      <formula>RIGHT(AH155,LEN("x"))="x"</formula>
    </cfRule>
  </conditionalFormatting>
  <conditionalFormatting sqref="AH157">
    <cfRule type="endsWith" dxfId="2485" priority="3157" operator="endsWith" text="x">
      <formula>RIGHT(AH157,LEN("x"))="x"</formula>
    </cfRule>
  </conditionalFormatting>
  <conditionalFormatting sqref="AC154:AC158">
    <cfRule type="endsWith" dxfId="2484" priority="3156" operator="endsWith" text="x">
      <formula>RIGHT(AC154,LEN("x"))="x"</formula>
    </cfRule>
  </conditionalFormatting>
  <conditionalFormatting sqref="AC155">
    <cfRule type="endsWith" dxfId="2483" priority="3155" operator="endsWith" text="x">
      <formula>RIGHT(AC155,LEN("x"))="x"</formula>
    </cfRule>
  </conditionalFormatting>
  <conditionalFormatting sqref="AC156">
    <cfRule type="endsWith" dxfId="2482" priority="3154" operator="endsWith" text="x">
      <formula>RIGHT(AC156,LEN("x"))="x"</formula>
    </cfRule>
  </conditionalFormatting>
  <conditionalFormatting sqref="AC157">
    <cfRule type="endsWith" dxfId="2481" priority="3153" operator="endsWith" text="x">
      <formula>RIGHT(AC157,LEN("x"))="x"</formula>
    </cfRule>
  </conditionalFormatting>
  <conditionalFormatting sqref="AI154:AL158">
    <cfRule type="endsWith" dxfId="2480" priority="3152" operator="endsWith" text="x">
      <formula>RIGHT(AI154,LEN("x"))="x"</formula>
    </cfRule>
  </conditionalFormatting>
  <conditionalFormatting sqref="AL154">
    <cfRule type="endsWith" dxfId="2479" priority="3151" operator="endsWith" text="x">
      <formula>RIGHT(AL154,LEN("x"))="x"</formula>
    </cfRule>
  </conditionalFormatting>
  <conditionalFormatting sqref="AB154:AL158">
    <cfRule type="endsWith" dxfId="2478" priority="3150" operator="endsWith" text="x">
      <formula>RIGHT(AB154,LEN("x"))="x"</formula>
    </cfRule>
  </conditionalFormatting>
  <conditionalFormatting sqref="AD154">
    <cfRule type="endsWith" dxfId="2477" priority="3149" operator="endsWith" text="x">
      <formula>RIGHT(AD154,LEN("x"))="x"</formula>
    </cfRule>
  </conditionalFormatting>
  <conditionalFormatting sqref="AD154">
    <cfRule type="endsWith" dxfId="2476" priority="3148" operator="endsWith" text="x">
      <formula>RIGHT(AD154,LEN("x"))="x"</formula>
    </cfRule>
  </conditionalFormatting>
  <conditionalFormatting sqref="AD155">
    <cfRule type="endsWith" dxfId="2475" priority="3147" operator="endsWith" text="x">
      <formula>RIGHT(AD155,LEN("x"))="x"</formula>
    </cfRule>
  </conditionalFormatting>
  <conditionalFormatting sqref="AD155">
    <cfRule type="endsWith" dxfId="2474" priority="3146" operator="endsWith" text="x">
      <formula>RIGHT(AD155,LEN("x"))="x"</formula>
    </cfRule>
  </conditionalFormatting>
  <conditionalFormatting sqref="AD156">
    <cfRule type="endsWith" dxfId="2473" priority="3145" operator="endsWith" text="x">
      <formula>RIGHT(AD156,LEN("x"))="x"</formula>
    </cfRule>
  </conditionalFormatting>
  <conditionalFormatting sqref="AD156">
    <cfRule type="endsWith" dxfId="2472" priority="3144" operator="endsWith" text="x">
      <formula>RIGHT(AD156,LEN("x"))="x"</formula>
    </cfRule>
  </conditionalFormatting>
  <conditionalFormatting sqref="AD157">
    <cfRule type="endsWith" dxfId="2471" priority="3143" operator="endsWith" text="x">
      <formula>RIGHT(AD157,LEN("x"))="x"</formula>
    </cfRule>
  </conditionalFormatting>
  <conditionalFormatting sqref="AD157">
    <cfRule type="endsWith" dxfId="2470" priority="3142" operator="endsWith" text="x">
      <formula>RIGHT(AD157,LEN("x"))="x"</formula>
    </cfRule>
  </conditionalFormatting>
  <conditionalFormatting sqref="AD158">
    <cfRule type="endsWith" dxfId="2469" priority="3141" operator="endsWith" text="x">
      <formula>RIGHT(AD158,LEN("x"))="x"</formula>
    </cfRule>
  </conditionalFormatting>
  <conditionalFormatting sqref="AD158">
    <cfRule type="endsWith" dxfId="2468" priority="3140" operator="endsWith" text="x">
      <formula>RIGHT(AD158,LEN("x"))="x"</formula>
    </cfRule>
  </conditionalFormatting>
  <conditionalFormatting sqref="AF154">
    <cfRule type="endsWith" dxfId="2467" priority="3139" operator="endsWith" text="x">
      <formula>RIGHT(AF154,LEN("x"))="x"</formula>
    </cfRule>
  </conditionalFormatting>
  <conditionalFormatting sqref="AF154">
    <cfRule type="endsWith" dxfId="2466" priority="3138" operator="endsWith" text="x">
      <formula>RIGHT(AF154,LEN("x"))="x"</formula>
    </cfRule>
  </conditionalFormatting>
  <conditionalFormatting sqref="AF155">
    <cfRule type="endsWith" dxfId="2465" priority="3137" operator="endsWith" text="x">
      <formula>RIGHT(AF155,LEN("x"))="x"</formula>
    </cfRule>
  </conditionalFormatting>
  <conditionalFormatting sqref="AF155">
    <cfRule type="endsWith" dxfId="2464" priority="3136" operator="endsWith" text="x">
      <formula>RIGHT(AF155,LEN("x"))="x"</formula>
    </cfRule>
  </conditionalFormatting>
  <conditionalFormatting sqref="AF156">
    <cfRule type="endsWith" dxfId="2463" priority="3135" operator="endsWith" text="x">
      <formula>RIGHT(AF156,LEN("x"))="x"</formula>
    </cfRule>
  </conditionalFormatting>
  <conditionalFormatting sqref="AF156">
    <cfRule type="endsWith" dxfId="2462" priority="3134" operator="endsWith" text="x">
      <formula>RIGHT(AF156,LEN("x"))="x"</formula>
    </cfRule>
  </conditionalFormatting>
  <conditionalFormatting sqref="AF157">
    <cfRule type="endsWith" dxfId="2461" priority="3133" operator="endsWith" text="x">
      <formula>RIGHT(AF157,LEN("x"))="x"</formula>
    </cfRule>
  </conditionalFormatting>
  <conditionalFormatting sqref="AF157">
    <cfRule type="endsWith" dxfId="2460" priority="3132" operator="endsWith" text="x">
      <formula>RIGHT(AF157,LEN("x"))="x"</formula>
    </cfRule>
  </conditionalFormatting>
  <conditionalFormatting sqref="AF158">
    <cfRule type="endsWith" dxfId="2459" priority="3131" operator="endsWith" text="x">
      <formula>RIGHT(AF158,LEN("x"))="x"</formula>
    </cfRule>
  </conditionalFormatting>
  <conditionalFormatting sqref="AF158">
    <cfRule type="endsWith" dxfId="2458" priority="3130" operator="endsWith" text="x">
      <formula>RIGHT(AF158,LEN("x"))="x"</formula>
    </cfRule>
  </conditionalFormatting>
  <conditionalFormatting sqref="AE155">
    <cfRule type="endsWith" dxfId="2457" priority="3129" operator="endsWith" text="x">
      <formula>RIGHT(AE155,LEN("x"))="x"</formula>
    </cfRule>
  </conditionalFormatting>
  <conditionalFormatting sqref="AE156">
    <cfRule type="endsWith" dxfId="2456" priority="3128" operator="endsWith" text="x">
      <formula>RIGHT(AE156,LEN("x"))="x"</formula>
    </cfRule>
  </conditionalFormatting>
  <conditionalFormatting sqref="AE157">
    <cfRule type="endsWith" dxfId="2455" priority="3127" operator="endsWith" text="x">
      <formula>RIGHT(AE157,LEN("x"))="x"</formula>
    </cfRule>
  </conditionalFormatting>
  <conditionalFormatting sqref="AE157">
    <cfRule type="endsWith" dxfId="2454" priority="3126" operator="endsWith" text="x">
      <formula>RIGHT(AE157,LEN("x"))="x"</formula>
    </cfRule>
  </conditionalFormatting>
  <conditionalFormatting sqref="AE158">
    <cfRule type="endsWith" dxfId="2453" priority="3125" operator="endsWith" text="x">
      <formula>RIGHT(AE158,LEN("x"))="x"</formula>
    </cfRule>
  </conditionalFormatting>
  <conditionalFormatting sqref="AG154">
    <cfRule type="endsWith" dxfId="2452" priority="3124" operator="endsWith" text="x">
      <formula>RIGHT(AG154,LEN("x"))="x"</formula>
    </cfRule>
  </conditionalFormatting>
  <conditionalFormatting sqref="AG154">
    <cfRule type="endsWith" dxfId="2451" priority="3123" operator="endsWith" text="x">
      <formula>RIGHT(AG154,LEN("x"))="x"</formula>
    </cfRule>
  </conditionalFormatting>
  <conditionalFormatting sqref="AG155">
    <cfRule type="endsWith" dxfId="2450" priority="3122" operator="endsWith" text="x">
      <formula>RIGHT(AG155,LEN("x"))="x"</formula>
    </cfRule>
  </conditionalFormatting>
  <conditionalFormatting sqref="AG155">
    <cfRule type="endsWith" dxfId="2449" priority="3121" operator="endsWith" text="x">
      <formula>RIGHT(AG155,LEN("x"))="x"</formula>
    </cfRule>
  </conditionalFormatting>
  <conditionalFormatting sqref="AG156">
    <cfRule type="endsWith" dxfId="2448" priority="3120" operator="endsWith" text="x">
      <formula>RIGHT(AG156,LEN("x"))="x"</formula>
    </cfRule>
  </conditionalFormatting>
  <conditionalFormatting sqref="AG156">
    <cfRule type="endsWith" dxfId="2447" priority="3119" operator="endsWith" text="x">
      <formula>RIGHT(AG156,LEN("x"))="x"</formula>
    </cfRule>
  </conditionalFormatting>
  <conditionalFormatting sqref="AG157">
    <cfRule type="endsWith" dxfId="2446" priority="3118" operator="endsWith" text="x">
      <formula>RIGHT(AG157,LEN("x"))="x"</formula>
    </cfRule>
  </conditionalFormatting>
  <conditionalFormatting sqref="AG157">
    <cfRule type="endsWith" dxfId="2445" priority="3117" operator="endsWith" text="x">
      <formula>RIGHT(AG157,LEN("x"))="x"</formula>
    </cfRule>
  </conditionalFormatting>
  <conditionalFormatting sqref="AG158">
    <cfRule type="endsWith" dxfId="2444" priority="3116" operator="endsWith" text="x">
      <formula>RIGHT(AG158,LEN("x"))="x"</formula>
    </cfRule>
  </conditionalFormatting>
  <conditionalFormatting sqref="AH154:AH158">
    <cfRule type="endsWith" dxfId="2443" priority="3115" operator="endsWith" text="x">
      <formula>RIGHT(AH154,LEN("x"))="x"</formula>
    </cfRule>
  </conditionalFormatting>
  <conditionalFormatting sqref="AH155">
    <cfRule type="endsWith" dxfId="2442" priority="3114" operator="endsWith" text="x">
      <formula>RIGHT(AH155,LEN("x"))="x"</formula>
    </cfRule>
  </conditionalFormatting>
  <conditionalFormatting sqref="AH157">
    <cfRule type="endsWith" dxfId="2441" priority="3113" operator="endsWith" text="x">
      <formula>RIGHT(AH157,LEN("x"))="x"</formula>
    </cfRule>
  </conditionalFormatting>
  <conditionalFormatting sqref="AC154:AC158">
    <cfRule type="endsWith" dxfId="2440" priority="3112" operator="endsWith" text="x">
      <formula>RIGHT(AC154,LEN("x"))="x"</formula>
    </cfRule>
  </conditionalFormatting>
  <conditionalFormatting sqref="AC155">
    <cfRule type="endsWith" dxfId="2439" priority="3111" operator="endsWith" text="x">
      <formula>RIGHT(AC155,LEN("x"))="x"</formula>
    </cfRule>
  </conditionalFormatting>
  <conditionalFormatting sqref="AC156">
    <cfRule type="endsWith" dxfId="2438" priority="3110" operator="endsWith" text="x">
      <formula>RIGHT(AC156,LEN("x"))="x"</formula>
    </cfRule>
  </conditionalFormatting>
  <conditionalFormatting sqref="AC157">
    <cfRule type="endsWith" dxfId="2437" priority="3109" operator="endsWith" text="x">
      <formula>RIGHT(AC157,LEN("x"))="x"</formula>
    </cfRule>
  </conditionalFormatting>
  <conditionalFormatting sqref="AI154:AL158">
    <cfRule type="endsWith" dxfId="2436" priority="3108" operator="endsWith" text="x">
      <formula>RIGHT(AI154,LEN("x"))="x"</formula>
    </cfRule>
  </conditionalFormatting>
  <conditionalFormatting sqref="AL154">
    <cfRule type="endsWith" dxfId="2435" priority="3107" operator="endsWith" text="x">
      <formula>RIGHT(AL154,LEN("x"))="x"</formula>
    </cfRule>
  </conditionalFormatting>
  <conditionalFormatting sqref="AB205:AC205 AE205 AG205:AL205">
    <cfRule type="endsWith" dxfId="2434" priority="3106" operator="endsWith" text="x">
      <formula>RIGHT(AB205,LEN("x"))="x"</formula>
    </cfRule>
  </conditionalFormatting>
  <conditionalFormatting sqref="AG205">
    <cfRule type="endsWith" dxfId="2433" priority="3105" operator="endsWith" text="x">
      <formula>RIGHT(AG205,LEN("x"))="x"</formula>
    </cfRule>
  </conditionalFormatting>
  <conditionalFormatting sqref="AL205">
    <cfRule type="endsWith" dxfId="2432" priority="3104" operator="endsWith" text="x">
      <formula>RIGHT(AL205,LEN("x"))="x"</formula>
    </cfRule>
  </conditionalFormatting>
  <conditionalFormatting sqref="AD205">
    <cfRule type="endsWith" dxfId="2431" priority="3103" operator="endsWith" text="x">
      <formula>RIGHT(AD205,LEN("x"))="x"</formula>
    </cfRule>
  </conditionalFormatting>
  <conditionalFormatting sqref="AF205">
    <cfRule type="endsWith" dxfId="2430" priority="3102" operator="endsWith" text="x">
      <formula>RIGHT(AF205,LEN("x"))="x"</formula>
    </cfRule>
  </conditionalFormatting>
  <conditionalFormatting sqref="AD205">
    <cfRule type="endsWith" dxfId="2429" priority="3101" operator="endsWith" text="x">
      <formula>RIGHT(AD205,LEN("x"))="x"</formula>
    </cfRule>
  </conditionalFormatting>
  <conditionalFormatting sqref="AD205">
    <cfRule type="endsWith" dxfId="2428" priority="3100" operator="endsWith" text="x">
      <formula>RIGHT(AD205,LEN("x"))="x"</formula>
    </cfRule>
  </conditionalFormatting>
  <conditionalFormatting sqref="AF205">
    <cfRule type="endsWith" dxfId="2427" priority="3099" operator="endsWith" text="x">
      <formula>RIGHT(AF205,LEN("x"))="x"</formula>
    </cfRule>
  </conditionalFormatting>
  <conditionalFormatting sqref="AF205">
    <cfRule type="endsWith" dxfId="2426" priority="3098" operator="endsWith" text="x">
      <formula>RIGHT(AF205,LEN("x"))="x"</formula>
    </cfRule>
  </conditionalFormatting>
  <conditionalFormatting sqref="AD283">
    <cfRule type="endsWith" dxfId="2425" priority="3097" operator="endsWith" text="x">
      <formula>RIGHT(AD283,LEN("x"))="x"</formula>
    </cfRule>
  </conditionalFormatting>
  <conditionalFormatting sqref="AD283">
    <cfRule type="endsWith" dxfId="2424" priority="3096" operator="endsWith" text="x">
      <formula>RIGHT(AD283,LEN("x"))="x"</formula>
    </cfRule>
  </conditionalFormatting>
  <conditionalFormatting sqref="AD284">
    <cfRule type="endsWith" dxfId="2423" priority="3095" operator="endsWith" text="x">
      <formula>RIGHT(AD284,LEN("x"))="x"</formula>
    </cfRule>
  </conditionalFormatting>
  <conditionalFormatting sqref="AD284">
    <cfRule type="endsWith" dxfId="2422" priority="3094" operator="endsWith" text="x">
      <formula>RIGHT(AD284,LEN("x"))="x"</formula>
    </cfRule>
  </conditionalFormatting>
  <conditionalFormatting sqref="AD285">
    <cfRule type="endsWith" dxfId="2421" priority="3093" operator="endsWith" text="x">
      <formula>RIGHT(AD285,LEN("x"))="x"</formula>
    </cfRule>
  </conditionalFormatting>
  <conditionalFormatting sqref="AD285">
    <cfRule type="endsWith" dxfId="2420" priority="3092" operator="endsWith" text="x">
      <formula>RIGHT(AD285,LEN("x"))="x"</formula>
    </cfRule>
  </conditionalFormatting>
  <conditionalFormatting sqref="AD286">
    <cfRule type="endsWith" dxfId="2419" priority="3091" operator="endsWith" text="x">
      <formula>RIGHT(AD286,LEN("x"))="x"</formula>
    </cfRule>
  </conditionalFormatting>
  <conditionalFormatting sqref="AD286">
    <cfRule type="endsWith" dxfId="2418" priority="3090" operator="endsWith" text="x">
      <formula>RIGHT(AD286,LEN("x"))="x"</formula>
    </cfRule>
  </conditionalFormatting>
  <conditionalFormatting sqref="AD287">
    <cfRule type="endsWith" dxfId="2417" priority="3089" operator="endsWith" text="x">
      <formula>RIGHT(AD287,LEN("x"))="x"</formula>
    </cfRule>
  </conditionalFormatting>
  <conditionalFormatting sqref="AD287">
    <cfRule type="endsWith" dxfId="2416" priority="3088" operator="endsWith" text="x">
      <formula>RIGHT(AD287,LEN("x"))="x"</formula>
    </cfRule>
  </conditionalFormatting>
  <conditionalFormatting sqref="AF283">
    <cfRule type="endsWith" dxfId="2415" priority="3087" operator="endsWith" text="x">
      <formula>RIGHT(AF283,LEN("x"))="x"</formula>
    </cfRule>
  </conditionalFormatting>
  <conditionalFormatting sqref="AF283">
    <cfRule type="endsWith" dxfId="2414" priority="3086" operator="endsWith" text="x">
      <formula>RIGHT(AF283,LEN("x"))="x"</formula>
    </cfRule>
  </conditionalFormatting>
  <conditionalFormatting sqref="AF284">
    <cfRule type="endsWith" dxfId="2413" priority="3085" operator="endsWith" text="x">
      <formula>RIGHT(AF284,LEN("x"))="x"</formula>
    </cfRule>
  </conditionalFormatting>
  <conditionalFormatting sqref="AF284">
    <cfRule type="endsWith" dxfId="2412" priority="3084" operator="endsWith" text="x">
      <formula>RIGHT(AF284,LEN("x"))="x"</formula>
    </cfRule>
  </conditionalFormatting>
  <conditionalFormatting sqref="AF285">
    <cfRule type="endsWith" dxfId="2411" priority="3083" operator="endsWith" text="x">
      <formula>RIGHT(AF285,LEN("x"))="x"</formula>
    </cfRule>
  </conditionalFormatting>
  <conditionalFormatting sqref="AF285">
    <cfRule type="endsWith" dxfId="2410" priority="3082" operator="endsWith" text="x">
      <formula>RIGHT(AF285,LEN("x"))="x"</formula>
    </cfRule>
  </conditionalFormatting>
  <conditionalFormatting sqref="AF286">
    <cfRule type="endsWith" dxfId="2409" priority="3081" operator="endsWith" text="x">
      <formula>RIGHT(AF286,LEN("x"))="x"</formula>
    </cfRule>
  </conditionalFormatting>
  <conditionalFormatting sqref="AF286">
    <cfRule type="endsWith" dxfId="2408" priority="3080" operator="endsWith" text="x">
      <formula>RIGHT(AF286,LEN("x"))="x"</formula>
    </cfRule>
  </conditionalFormatting>
  <conditionalFormatting sqref="AF287">
    <cfRule type="endsWith" dxfId="2407" priority="3079" operator="endsWith" text="x">
      <formula>RIGHT(AF287,LEN("x"))="x"</formula>
    </cfRule>
  </conditionalFormatting>
  <conditionalFormatting sqref="AF287">
    <cfRule type="endsWith" dxfId="2406" priority="3078" operator="endsWith" text="x">
      <formula>RIGHT(AF287,LEN("x"))="x"</formula>
    </cfRule>
  </conditionalFormatting>
  <conditionalFormatting sqref="AE284">
    <cfRule type="endsWith" dxfId="2405" priority="3077" operator="endsWith" text="x">
      <formula>RIGHT(AE284,LEN("x"))="x"</formula>
    </cfRule>
  </conditionalFormatting>
  <conditionalFormatting sqref="AE285">
    <cfRule type="endsWith" dxfId="2404" priority="3076" operator="endsWith" text="x">
      <formula>RIGHT(AE285,LEN("x"))="x"</formula>
    </cfRule>
  </conditionalFormatting>
  <conditionalFormatting sqref="AE286">
    <cfRule type="endsWith" dxfId="2403" priority="3075" operator="endsWith" text="x">
      <formula>RIGHT(AE286,LEN("x"))="x"</formula>
    </cfRule>
  </conditionalFormatting>
  <conditionalFormatting sqref="AE286">
    <cfRule type="endsWith" dxfId="2402" priority="3074" operator="endsWith" text="x">
      <formula>RIGHT(AE286,LEN("x"))="x"</formula>
    </cfRule>
  </conditionalFormatting>
  <conditionalFormatting sqref="AE287">
    <cfRule type="endsWith" dxfId="2401" priority="3073" operator="endsWith" text="x">
      <formula>RIGHT(AE287,LEN("x"))="x"</formula>
    </cfRule>
  </conditionalFormatting>
  <conditionalFormatting sqref="AG283">
    <cfRule type="endsWith" dxfId="2400" priority="3072" operator="endsWith" text="x">
      <formula>RIGHT(AG283,LEN("x"))="x"</formula>
    </cfRule>
  </conditionalFormatting>
  <conditionalFormatting sqref="AG283">
    <cfRule type="endsWith" dxfId="2399" priority="3071" operator="endsWith" text="x">
      <formula>RIGHT(AG283,LEN("x"))="x"</formula>
    </cfRule>
  </conditionalFormatting>
  <conditionalFormatting sqref="AG284">
    <cfRule type="endsWith" dxfId="2398" priority="3070" operator="endsWith" text="x">
      <formula>RIGHT(AG284,LEN("x"))="x"</formula>
    </cfRule>
  </conditionalFormatting>
  <conditionalFormatting sqref="AG284">
    <cfRule type="endsWith" dxfId="2397" priority="3069" operator="endsWith" text="x">
      <formula>RIGHT(AG284,LEN("x"))="x"</formula>
    </cfRule>
  </conditionalFormatting>
  <conditionalFormatting sqref="AG285">
    <cfRule type="endsWith" dxfId="2396" priority="3068" operator="endsWith" text="x">
      <formula>RIGHT(AG285,LEN("x"))="x"</formula>
    </cfRule>
  </conditionalFormatting>
  <conditionalFormatting sqref="AG285">
    <cfRule type="endsWith" dxfId="2395" priority="3067" operator="endsWith" text="x">
      <formula>RIGHT(AG285,LEN("x"))="x"</formula>
    </cfRule>
  </conditionalFormatting>
  <conditionalFormatting sqref="AG286">
    <cfRule type="endsWith" dxfId="2394" priority="3066" operator="endsWith" text="x">
      <formula>RIGHT(AG286,LEN("x"))="x"</formula>
    </cfRule>
  </conditionalFormatting>
  <conditionalFormatting sqref="AG286">
    <cfRule type="endsWith" dxfId="2393" priority="3065" operator="endsWith" text="x">
      <formula>RIGHT(AG286,LEN("x"))="x"</formula>
    </cfRule>
  </conditionalFormatting>
  <conditionalFormatting sqref="AG287">
    <cfRule type="endsWith" dxfId="2392" priority="3064" operator="endsWith" text="x">
      <formula>RIGHT(AG287,LEN("x"))="x"</formula>
    </cfRule>
  </conditionalFormatting>
  <conditionalFormatting sqref="AH283:AH287">
    <cfRule type="endsWith" dxfId="2391" priority="3063" operator="endsWith" text="x">
      <formula>RIGHT(AH283,LEN("x"))="x"</formula>
    </cfRule>
  </conditionalFormatting>
  <conditionalFormatting sqref="AH284">
    <cfRule type="endsWith" dxfId="2390" priority="3062" operator="endsWith" text="x">
      <formula>RIGHT(AH284,LEN("x"))="x"</formula>
    </cfRule>
  </conditionalFormatting>
  <conditionalFormatting sqref="AH286">
    <cfRule type="endsWith" dxfId="2389" priority="3061" operator="endsWith" text="x">
      <formula>RIGHT(AH286,LEN("x"))="x"</formula>
    </cfRule>
  </conditionalFormatting>
  <conditionalFormatting sqref="AC283:AC287">
    <cfRule type="endsWith" dxfId="2388" priority="3060" operator="endsWith" text="x">
      <formula>RIGHT(AC283,LEN("x"))="x"</formula>
    </cfRule>
  </conditionalFormatting>
  <conditionalFormatting sqref="AC284">
    <cfRule type="endsWith" dxfId="2387" priority="3059" operator="endsWith" text="x">
      <formula>RIGHT(AC284,LEN("x"))="x"</formula>
    </cfRule>
  </conditionalFormatting>
  <conditionalFormatting sqref="AC285">
    <cfRule type="endsWith" dxfId="2386" priority="3058" operator="endsWith" text="x">
      <formula>RIGHT(AC285,LEN("x"))="x"</formula>
    </cfRule>
  </conditionalFormatting>
  <conditionalFormatting sqref="AC286">
    <cfRule type="endsWith" dxfId="2385" priority="3057" operator="endsWith" text="x">
      <formula>RIGHT(AC286,LEN("x"))="x"</formula>
    </cfRule>
  </conditionalFormatting>
  <conditionalFormatting sqref="AI283:AL287">
    <cfRule type="endsWith" dxfId="2384" priority="3056" operator="endsWith" text="x">
      <formula>RIGHT(AI283,LEN("x"))="x"</formula>
    </cfRule>
  </conditionalFormatting>
  <conditionalFormatting sqref="AL283">
    <cfRule type="endsWith" dxfId="2383" priority="3055" operator="endsWith" text="x">
      <formula>RIGHT(AL283,LEN("x"))="x"</formula>
    </cfRule>
  </conditionalFormatting>
  <conditionalFormatting sqref="AB283:AC283 AE283 AG283:AL283">
    <cfRule type="endsWith" dxfId="2382" priority="3054" operator="endsWith" text="x">
      <formula>RIGHT(AB283,LEN("x"))="x"</formula>
    </cfRule>
  </conditionalFormatting>
  <conditionalFormatting sqref="AG283">
    <cfRule type="endsWith" dxfId="2381" priority="3053" operator="endsWith" text="x">
      <formula>RIGHT(AG283,LEN("x"))="x"</formula>
    </cfRule>
  </conditionalFormatting>
  <conditionalFormatting sqref="AL283">
    <cfRule type="endsWith" dxfId="2380" priority="3052" operator="endsWith" text="x">
      <formula>RIGHT(AL283,LEN("x"))="x"</formula>
    </cfRule>
  </conditionalFormatting>
  <conditionalFormatting sqref="AD283">
    <cfRule type="endsWith" dxfId="2379" priority="3051" operator="endsWith" text="x">
      <formula>RIGHT(AD283,LEN("x"))="x"</formula>
    </cfRule>
  </conditionalFormatting>
  <conditionalFormatting sqref="AF283">
    <cfRule type="endsWith" dxfId="2378" priority="3050" operator="endsWith" text="x">
      <formula>RIGHT(AF283,LEN("x"))="x"</formula>
    </cfRule>
  </conditionalFormatting>
  <conditionalFormatting sqref="AD283">
    <cfRule type="endsWith" dxfId="2377" priority="3049" operator="endsWith" text="x">
      <formula>RIGHT(AD283,LEN("x"))="x"</formula>
    </cfRule>
  </conditionalFormatting>
  <conditionalFormatting sqref="AD283">
    <cfRule type="endsWith" dxfId="2376" priority="3048" operator="endsWith" text="x">
      <formula>RIGHT(AD283,LEN("x"))="x"</formula>
    </cfRule>
  </conditionalFormatting>
  <conditionalFormatting sqref="AF283">
    <cfRule type="endsWith" dxfId="2375" priority="3047" operator="endsWith" text="x">
      <formula>RIGHT(AF283,LEN("x"))="x"</formula>
    </cfRule>
  </conditionalFormatting>
  <conditionalFormatting sqref="AF283">
    <cfRule type="endsWith" dxfId="2374" priority="3046" operator="endsWith" text="x">
      <formula>RIGHT(AF283,LEN("x"))="x"</formula>
    </cfRule>
  </conditionalFormatting>
  <conditionalFormatting sqref="AD283">
    <cfRule type="endsWith" dxfId="2373" priority="3045" operator="endsWith" text="x">
      <formula>RIGHT(AD283,LEN("x"))="x"</formula>
    </cfRule>
  </conditionalFormatting>
  <conditionalFormatting sqref="AD283">
    <cfRule type="endsWith" dxfId="2372" priority="3044" operator="endsWith" text="x">
      <formula>RIGHT(AD283,LEN("x"))="x"</formula>
    </cfRule>
  </conditionalFormatting>
  <conditionalFormatting sqref="AD284">
    <cfRule type="endsWith" dxfId="2371" priority="3043" operator="endsWith" text="x">
      <formula>RIGHT(AD284,LEN("x"))="x"</formula>
    </cfRule>
  </conditionalFormatting>
  <conditionalFormatting sqref="AD284">
    <cfRule type="endsWith" dxfId="2370" priority="3042" operator="endsWith" text="x">
      <formula>RIGHT(AD284,LEN("x"))="x"</formula>
    </cfRule>
  </conditionalFormatting>
  <conditionalFormatting sqref="AD285">
    <cfRule type="endsWith" dxfId="2369" priority="3041" operator="endsWith" text="x">
      <formula>RIGHT(AD285,LEN("x"))="x"</formula>
    </cfRule>
  </conditionalFormatting>
  <conditionalFormatting sqref="AD285">
    <cfRule type="endsWith" dxfId="2368" priority="3040" operator="endsWith" text="x">
      <formula>RIGHT(AD285,LEN("x"))="x"</formula>
    </cfRule>
  </conditionalFormatting>
  <conditionalFormatting sqref="AD286">
    <cfRule type="endsWith" dxfId="2367" priority="3039" operator="endsWith" text="x">
      <formula>RIGHT(AD286,LEN("x"))="x"</formula>
    </cfRule>
  </conditionalFormatting>
  <conditionalFormatting sqref="AD286">
    <cfRule type="endsWith" dxfId="2366" priority="3038" operator="endsWith" text="x">
      <formula>RIGHT(AD286,LEN("x"))="x"</formula>
    </cfRule>
  </conditionalFormatting>
  <conditionalFormatting sqref="AD287">
    <cfRule type="endsWith" dxfId="2365" priority="3037" operator="endsWith" text="x">
      <formula>RIGHT(AD287,LEN("x"))="x"</formula>
    </cfRule>
  </conditionalFormatting>
  <conditionalFormatting sqref="AD287">
    <cfRule type="endsWith" dxfId="2364" priority="3036" operator="endsWith" text="x">
      <formula>RIGHT(AD287,LEN("x"))="x"</formula>
    </cfRule>
  </conditionalFormatting>
  <conditionalFormatting sqref="AF283">
    <cfRule type="endsWith" dxfId="2363" priority="3035" operator="endsWith" text="x">
      <formula>RIGHT(AF283,LEN("x"))="x"</formula>
    </cfRule>
  </conditionalFormatting>
  <conditionalFormatting sqref="AF283">
    <cfRule type="endsWith" dxfId="2362" priority="3034" operator="endsWith" text="x">
      <formula>RIGHT(AF283,LEN("x"))="x"</formula>
    </cfRule>
  </conditionalFormatting>
  <conditionalFormatting sqref="AF284">
    <cfRule type="endsWith" dxfId="2361" priority="3033" operator="endsWith" text="x">
      <formula>RIGHT(AF284,LEN("x"))="x"</formula>
    </cfRule>
  </conditionalFormatting>
  <conditionalFormatting sqref="AF284">
    <cfRule type="endsWith" dxfId="2360" priority="3032" operator="endsWith" text="x">
      <formula>RIGHT(AF284,LEN("x"))="x"</formula>
    </cfRule>
  </conditionalFormatting>
  <conditionalFormatting sqref="AF285">
    <cfRule type="endsWith" dxfId="2359" priority="3031" operator="endsWith" text="x">
      <formula>RIGHT(AF285,LEN("x"))="x"</formula>
    </cfRule>
  </conditionalFormatting>
  <conditionalFormatting sqref="AF285">
    <cfRule type="endsWith" dxfId="2358" priority="3030" operator="endsWith" text="x">
      <formula>RIGHT(AF285,LEN("x"))="x"</formula>
    </cfRule>
  </conditionalFormatting>
  <conditionalFormatting sqref="AF286">
    <cfRule type="endsWith" dxfId="2357" priority="3029" operator="endsWith" text="x">
      <formula>RIGHT(AF286,LEN("x"))="x"</formula>
    </cfRule>
  </conditionalFormatting>
  <conditionalFormatting sqref="AF286">
    <cfRule type="endsWith" dxfId="2356" priority="3028" operator="endsWith" text="x">
      <formula>RIGHT(AF286,LEN("x"))="x"</formula>
    </cfRule>
  </conditionalFormatting>
  <conditionalFormatting sqref="AF287">
    <cfRule type="endsWith" dxfId="2355" priority="3027" operator="endsWith" text="x">
      <formula>RIGHT(AF287,LEN("x"))="x"</formula>
    </cfRule>
  </conditionalFormatting>
  <conditionalFormatting sqref="AF287">
    <cfRule type="endsWith" dxfId="2354" priority="3026" operator="endsWith" text="x">
      <formula>RIGHT(AF287,LEN("x"))="x"</formula>
    </cfRule>
  </conditionalFormatting>
  <conditionalFormatting sqref="AE284">
    <cfRule type="endsWith" dxfId="2353" priority="3025" operator="endsWith" text="x">
      <formula>RIGHT(AE284,LEN("x"))="x"</formula>
    </cfRule>
  </conditionalFormatting>
  <conditionalFormatting sqref="AE285">
    <cfRule type="endsWith" dxfId="2352" priority="3024" operator="endsWith" text="x">
      <formula>RIGHT(AE285,LEN("x"))="x"</formula>
    </cfRule>
  </conditionalFormatting>
  <conditionalFormatting sqref="AE286">
    <cfRule type="endsWith" dxfId="2351" priority="3023" operator="endsWith" text="x">
      <formula>RIGHT(AE286,LEN("x"))="x"</formula>
    </cfRule>
  </conditionalFormatting>
  <conditionalFormatting sqref="AE286">
    <cfRule type="endsWith" dxfId="2350" priority="3022" operator="endsWith" text="x">
      <formula>RIGHT(AE286,LEN("x"))="x"</formula>
    </cfRule>
  </conditionalFormatting>
  <conditionalFormatting sqref="AE287">
    <cfRule type="endsWith" dxfId="2349" priority="3021" operator="endsWith" text="x">
      <formula>RIGHT(AE287,LEN("x"))="x"</formula>
    </cfRule>
  </conditionalFormatting>
  <conditionalFormatting sqref="AG283">
    <cfRule type="endsWith" dxfId="2348" priority="3020" operator="endsWith" text="x">
      <formula>RIGHT(AG283,LEN("x"))="x"</formula>
    </cfRule>
  </conditionalFormatting>
  <conditionalFormatting sqref="AG283">
    <cfRule type="endsWith" dxfId="2347" priority="3019" operator="endsWith" text="x">
      <formula>RIGHT(AG283,LEN("x"))="x"</formula>
    </cfRule>
  </conditionalFormatting>
  <conditionalFormatting sqref="AG284">
    <cfRule type="endsWith" dxfId="2346" priority="3018" operator="endsWith" text="x">
      <formula>RIGHT(AG284,LEN("x"))="x"</formula>
    </cfRule>
  </conditionalFormatting>
  <conditionalFormatting sqref="AG284">
    <cfRule type="endsWith" dxfId="2345" priority="3017" operator="endsWith" text="x">
      <formula>RIGHT(AG284,LEN("x"))="x"</formula>
    </cfRule>
  </conditionalFormatting>
  <conditionalFormatting sqref="AG285">
    <cfRule type="endsWith" dxfId="2344" priority="3016" operator="endsWith" text="x">
      <formula>RIGHT(AG285,LEN("x"))="x"</formula>
    </cfRule>
  </conditionalFormatting>
  <conditionalFormatting sqref="AG285">
    <cfRule type="endsWith" dxfId="2343" priority="3015" operator="endsWith" text="x">
      <formula>RIGHT(AG285,LEN("x"))="x"</formula>
    </cfRule>
  </conditionalFormatting>
  <conditionalFormatting sqref="AG286">
    <cfRule type="endsWith" dxfId="2342" priority="3014" operator="endsWith" text="x">
      <formula>RIGHT(AG286,LEN("x"))="x"</formula>
    </cfRule>
  </conditionalFormatting>
  <conditionalFormatting sqref="AG286">
    <cfRule type="endsWith" dxfId="2341" priority="3013" operator="endsWith" text="x">
      <formula>RIGHT(AG286,LEN("x"))="x"</formula>
    </cfRule>
  </conditionalFormatting>
  <conditionalFormatting sqref="AG287">
    <cfRule type="endsWith" dxfId="2340" priority="3012" operator="endsWith" text="x">
      <formula>RIGHT(AG287,LEN("x"))="x"</formula>
    </cfRule>
  </conditionalFormatting>
  <conditionalFormatting sqref="AH283:AH287">
    <cfRule type="endsWith" dxfId="2339" priority="3011" operator="endsWith" text="x">
      <formula>RIGHT(AH283,LEN("x"))="x"</formula>
    </cfRule>
  </conditionalFormatting>
  <conditionalFormatting sqref="AH284">
    <cfRule type="endsWith" dxfId="2338" priority="3010" operator="endsWith" text="x">
      <formula>RIGHT(AH284,LEN("x"))="x"</formula>
    </cfRule>
  </conditionalFormatting>
  <conditionalFormatting sqref="AH286">
    <cfRule type="endsWith" dxfId="2337" priority="3009" operator="endsWith" text="x">
      <formula>RIGHT(AH286,LEN("x"))="x"</formula>
    </cfRule>
  </conditionalFormatting>
  <conditionalFormatting sqref="AC283:AC287">
    <cfRule type="endsWith" dxfId="2336" priority="3008" operator="endsWith" text="x">
      <formula>RIGHT(AC283,LEN("x"))="x"</formula>
    </cfRule>
  </conditionalFormatting>
  <conditionalFormatting sqref="AC284">
    <cfRule type="endsWith" dxfId="2335" priority="3007" operator="endsWith" text="x">
      <formula>RIGHT(AC284,LEN("x"))="x"</formula>
    </cfRule>
  </conditionalFormatting>
  <conditionalFormatting sqref="AC285">
    <cfRule type="endsWith" dxfId="2334" priority="3006" operator="endsWith" text="x">
      <formula>RIGHT(AC285,LEN("x"))="x"</formula>
    </cfRule>
  </conditionalFormatting>
  <conditionalFormatting sqref="AC286">
    <cfRule type="endsWith" dxfId="2333" priority="3005" operator="endsWith" text="x">
      <formula>RIGHT(AC286,LEN("x"))="x"</formula>
    </cfRule>
  </conditionalFormatting>
  <conditionalFormatting sqref="AI283:AL287">
    <cfRule type="endsWith" dxfId="2332" priority="3004" operator="endsWith" text="x">
      <formula>RIGHT(AI283,LEN("x"))="x"</formula>
    </cfRule>
  </conditionalFormatting>
  <conditionalFormatting sqref="AL283">
    <cfRule type="endsWith" dxfId="2331" priority="3003" operator="endsWith" text="x">
      <formula>RIGHT(AL283,LEN("x"))="x"</formula>
    </cfRule>
  </conditionalFormatting>
  <conditionalFormatting sqref="AB283:AC283 AE283 AG283:AL283">
    <cfRule type="endsWith" dxfId="2330" priority="3002" operator="endsWith" text="x">
      <formula>RIGHT(AB283,LEN("x"))="x"</formula>
    </cfRule>
  </conditionalFormatting>
  <conditionalFormatting sqref="AG283">
    <cfRule type="endsWith" dxfId="2329" priority="3001" operator="endsWith" text="x">
      <formula>RIGHT(AG283,LEN("x"))="x"</formula>
    </cfRule>
  </conditionalFormatting>
  <conditionalFormatting sqref="AL283">
    <cfRule type="endsWith" dxfId="2328" priority="3000" operator="endsWith" text="x">
      <formula>RIGHT(AL283,LEN("x"))="x"</formula>
    </cfRule>
  </conditionalFormatting>
  <conditionalFormatting sqref="AD283">
    <cfRule type="endsWith" dxfId="2327" priority="2999" operator="endsWith" text="x">
      <formula>RIGHT(AD283,LEN("x"))="x"</formula>
    </cfRule>
  </conditionalFormatting>
  <conditionalFormatting sqref="AF283">
    <cfRule type="endsWith" dxfId="2326" priority="2998" operator="endsWith" text="x">
      <formula>RIGHT(AF283,LEN("x"))="x"</formula>
    </cfRule>
  </conditionalFormatting>
  <conditionalFormatting sqref="AD283">
    <cfRule type="endsWith" dxfId="2325" priority="2997" operator="endsWith" text="x">
      <formula>RIGHT(AD283,LEN("x"))="x"</formula>
    </cfRule>
  </conditionalFormatting>
  <conditionalFormatting sqref="AD283">
    <cfRule type="endsWith" dxfId="2324" priority="2996" operator="endsWith" text="x">
      <formula>RIGHT(AD283,LEN("x"))="x"</formula>
    </cfRule>
  </conditionalFormatting>
  <conditionalFormatting sqref="AF283">
    <cfRule type="endsWith" dxfId="2323" priority="2995" operator="endsWith" text="x">
      <formula>RIGHT(AF283,LEN("x"))="x"</formula>
    </cfRule>
  </conditionalFormatting>
  <conditionalFormatting sqref="AF283">
    <cfRule type="endsWith" dxfId="2322" priority="2994" operator="endsWith" text="x">
      <formula>RIGHT(AF283,LEN("x"))="x"</formula>
    </cfRule>
  </conditionalFormatting>
  <conditionalFormatting sqref="AE154">
    <cfRule type="endsWith" dxfId="2321" priority="2993" operator="endsWith" text="x">
      <formula>RIGHT(AE154,LEN("x"))="x"</formula>
    </cfRule>
  </conditionalFormatting>
  <conditionalFormatting sqref="AB235:AL239">
    <cfRule type="endsWith" dxfId="2320" priority="2992" operator="endsWith" text="x">
      <formula>RIGHT(AB235,LEN("x"))="x"</formula>
    </cfRule>
  </conditionalFormatting>
  <conditionalFormatting sqref="AD235">
    <cfRule type="endsWith" dxfId="2319" priority="2991" operator="endsWith" text="x">
      <formula>RIGHT(AD235,LEN("x"))="x"</formula>
    </cfRule>
  </conditionalFormatting>
  <conditionalFormatting sqref="AD235">
    <cfRule type="endsWith" dxfId="2318" priority="2990" operator="endsWith" text="x">
      <formula>RIGHT(AD235,LEN("x"))="x"</formula>
    </cfRule>
  </conditionalFormatting>
  <conditionalFormatting sqref="AD236">
    <cfRule type="endsWith" dxfId="2317" priority="2989" operator="endsWith" text="x">
      <formula>RIGHT(AD236,LEN("x"))="x"</formula>
    </cfRule>
  </conditionalFormatting>
  <conditionalFormatting sqref="AD236">
    <cfRule type="endsWith" dxfId="2316" priority="2988" operator="endsWith" text="x">
      <formula>RIGHT(AD236,LEN("x"))="x"</formula>
    </cfRule>
  </conditionalFormatting>
  <conditionalFormatting sqref="AD237">
    <cfRule type="endsWith" dxfId="2315" priority="2987" operator="endsWith" text="x">
      <formula>RIGHT(AD237,LEN("x"))="x"</formula>
    </cfRule>
  </conditionalFormatting>
  <conditionalFormatting sqref="AD237">
    <cfRule type="endsWith" dxfId="2314" priority="2986" operator="endsWith" text="x">
      <formula>RIGHT(AD237,LEN("x"))="x"</formula>
    </cfRule>
  </conditionalFormatting>
  <conditionalFormatting sqref="AD238">
    <cfRule type="endsWith" dxfId="2313" priority="2985" operator="endsWith" text="x">
      <formula>RIGHT(AD238,LEN("x"))="x"</formula>
    </cfRule>
  </conditionalFormatting>
  <conditionalFormatting sqref="AD238">
    <cfRule type="endsWith" dxfId="2312" priority="2984" operator="endsWith" text="x">
      <formula>RIGHT(AD238,LEN("x"))="x"</formula>
    </cfRule>
  </conditionalFormatting>
  <conditionalFormatting sqref="AD239">
    <cfRule type="endsWith" dxfId="2311" priority="2983" operator="endsWith" text="x">
      <formula>RIGHT(AD239,LEN("x"))="x"</formula>
    </cfRule>
  </conditionalFormatting>
  <conditionalFormatting sqref="AD239">
    <cfRule type="endsWith" dxfId="2310" priority="2982" operator="endsWith" text="x">
      <formula>RIGHT(AD239,LEN("x"))="x"</formula>
    </cfRule>
  </conditionalFormatting>
  <conditionalFormatting sqref="AF235">
    <cfRule type="endsWith" dxfId="2309" priority="2981" operator="endsWith" text="x">
      <formula>RIGHT(AF235,LEN("x"))="x"</formula>
    </cfRule>
  </conditionalFormatting>
  <conditionalFormatting sqref="AF235">
    <cfRule type="endsWith" dxfId="2308" priority="2980" operator="endsWith" text="x">
      <formula>RIGHT(AF235,LEN("x"))="x"</formula>
    </cfRule>
  </conditionalFormatting>
  <conditionalFormatting sqref="AF236">
    <cfRule type="endsWith" dxfId="2307" priority="2979" operator="endsWith" text="x">
      <formula>RIGHT(AF236,LEN("x"))="x"</formula>
    </cfRule>
  </conditionalFormatting>
  <conditionalFormatting sqref="AF236">
    <cfRule type="endsWith" dxfId="2306" priority="2978" operator="endsWith" text="x">
      <formula>RIGHT(AF236,LEN("x"))="x"</formula>
    </cfRule>
  </conditionalFormatting>
  <conditionalFormatting sqref="AF237">
    <cfRule type="endsWith" dxfId="2305" priority="2977" operator="endsWith" text="x">
      <formula>RIGHT(AF237,LEN("x"))="x"</formula>
    </cfRule>
  </conditionalFormatting>
  <conditionalFormatting sqref="AF237">
    <cfRule type="endsWith" dxfId="2304" priority="2976" operator="endsWith" text="x">
      <formula>RIGHT(AF237,LEN("x"))="x"</formula>
    </cfRule>
  </conditionalFormatting>
  <conditionalFormatting sqref="AF238">
    <cfRule type="endsWith" dxfId="2303" priority="2975" operator="endsWith" text="x">
      <formula>RIGHT(AF238,LEN("x"))="x"</formula>
    </cfRule>
  </conditionalFormatting>
  <conditionalFormatting sqref="AF238">
    <cfRule type="endsWith" dxfId="2302" priority="2974" operator="endsWith" text="x">
      <formula>RIGHT(AF238,LEN("x"))="x"</formula>
    </cfRule>
  </conditionalFormatting>
  <conditionalFormatting sqref="AF239">
    <cfRule type="endsWith" dxfId="2301" priority="2973" operator="endsWith" text="x">
      <formula>RIGHT(AF239,LEN("x"))="x"</formula>
    </cfRule>
  </conditionalFormatting>
  <conditionalFormatting sqref="AF239">
    <cfRule type="endsWith" dxfId="2300" priority="2972" operator="endsWith" text="x">
      <formula>RIGHT(AF239,LEN("x"))="x"</formula>
    </cfRule>
  </conditionalFormatting>
  <conditionalFormatting sqref="AE236">
    <cfRule type="endsWith" dxfId="2299" priority="2971" operator="endsWith" text="x">
      <formula>RIGHT(AE236,LEN("x"))="x"</formula>
    </cfRule>
  </conditionalFormatting>
  <conditionalFormatting sqref="AE237">
    <cfRule type="endsWith" dxfId="2298" priority="2970" operator="endsWith" text="x">
      <formula>RIGHT(AE237,LEN("x"))="x"</formula>
    </cfRule>
  </conditionalFormatting>
  <conditionalFormatting sqref="AE238">
    <cfRule type="endsWith" dxfId="2297" priority="2969" operator="endsWith" text="x">
      <formula>RIGHT(AE238,LEN("x"))="x"</formula>
    </cfRule>
  </conditionalFormatting>
  <conditionalFormatting sqref="AE238">
    <cfRule type="endsWith" dxfId="2296" priority="2968" operator="endsWith" text="x">
      <formula>RIGHT(AE238,LEN("x"))="x"</formula>
    </cfRule>
  </conditionalFormatting>
  <conditionalFormatting sqref="AE239">
    <cfRule type="endsWith" dxfId="2295" priority="2967" operator="endsWith" text="x">
      <formula>RIGHT(AE239,LEN("x"))="x"</formula>
    </cfRule>
  </conditionalFormatting>
  <conditionalFormatting sqref="AG235">
    <cfRule type="endsWith" dxfId="2294" priority="2966" operator="endsWith" text="x">
      <formula>RIGHT(AG235,LEN("x"))="x"</formula>
    </cfRule>
  </conditionalFormatting>
  <conditionalFormatting sqref="AG235">
    <cfRule type="endsWith" dxfId="2293" priority="2965" operator="endsWith" text="x">
      <formula>RIGHT(AG235,LEN("x"))="x"</formula>
    </cfRule>
  </conditionalFormatting>
  <conditionalFormatting sqref="AG236">
    <cfRule type="endsWith" dxfId="2292" priority="2964" operator="endsWith" text="x">
      <formula>RIGHT(AG236,LEN("x"))="x"</formula>
    </cfRule>
  </conditionalFormatting>
  <conditionalFormatting sqref="AG236">
    <cfRule type="endsWith" dxfId="2291" priority="2963" operator="endsWith" text="x">
      <formula>RIGHT(AG236,LEN("x"))="x"</formula>
    </cfRule>
  </conditionalFormatting>
  <conditionalFormatting sqref="AG237">
    <cfRule type="endsWith" dxfId="2290" priority="2962" operator="endsWith" text="x">
      <formula>RIGHT(AG237,LEN("x"))="x"</formula>
    </cfRule>
  </conditionalFormatting>
  <conditionalFormatting sqref="AG237">
    <cfRule type="endsWith" dxfId="2289" priority="2961" operator="endsWith" text="x">
      <formula>RIGHT(AG237,LEN("x"))="x"</formula>
    </cfRule>
  </conditionalFormatting>
  <conditionalFormatting sqref="AG238">
    <cfRule type="endsWith" dxfId="2288" priority="2960" operator="endsWith" text="x">
      <formula>RIGHT(AG238,LEN("x"))="x"</formula>
    </cfRule>
  </conditionalFormatting>
  <conditionalFormatting sqref="AG238">
    <cfRule type="endsWith" dxfId="2287" priority="2959" operator="endsWith" text="x">
      <formula>RIGHT(AG238,LEN("x"))="x"</formula>
    </cfRule>
  </conditionalFormatting>
  <conditionalFormatting sqref="AG239">
    <cfRule type="endsWith" dxfId="2286" priority="2958" operator="endsWith" text="x">
      <formula>RIGHT(AG239,LEN("x"))="x"</formula>
    </cfRule>
  </conditionalFormatting>
  <conditionalFormatting sqref="AH235:AH239">
    <cfRule type="endsWith" dxfId="2285" priority="2957" operator="endsWith" text="x">
      <formula>RIGHT(AH235,LEN("x"))="x"</formula>
    </cfRule>
  </conditionalFormatting>
  <conditionalFormatting sqref="AH236">
    <cfRule type="endsWith" dxfId="2284" priority="2956" operator="endsWith" text="x">
      <formula>RIGHT(AH236,LEN("x"))="x"</formula>
    </cfRule>
  </conditionalFormatting>
  <conditionalFormatting sqref="AH238">
    <cfRule type="endsWith" dxfId="2283" priority="2955" operator="endsWith" text="x">
      <formula>RIGHT(AH238,LEN("x"))="x"</formula>
    </cfRule>
  </conditionalFormatting>
  <conditionalFormatting sqref="AC235:AC239">
    <cfRule type="endsWith" dxfId="2282" priority="2954" operator="endsWith" text="x">
      <formula>RIGHT(AC235,LEN("x"))="x"</formula>
    </cfRule>
  </conditionalFormatting>
  <conditionalFormatting sqref="AC236">
    <cfRule type="endsWith" dxfId="2281" priority="2953" operator="endsWith" text="x">
      <formula>RIGHT(AC236,LEN("x"))="x"</formula>
    </cfRule>
  </conditionalFormatting>
  <conditionalFormatting sqref="AC237">
    <cfRule type="endsWith" dxfId="2280" priority="2952" operator="endsWith" text="x">
      <formula>RIGHT(AC237,LEN("x"))="x"</formula>
    </cfRule>
  </conditionalFormatting>
  <conditionalFormatting sqref="AC238">
    <cfRule type="endsWith" dxfId="2279" priority="2951" operator="endsWith" text="x">
      <formula>RIGHT(AC238,LEN("x"))="x"</formula>
    </cfRule>
  </conditionalFormatting>
  <conditionalFormatting sqref="AI235:AL239">
    <cfRule type="endsWith" dxfId="2278" priority="2950" operator="endsWith" text="x">
      <formula>RIGHT(AI235,LEN("x"))="x"</formula>
    </cfRule>
  </conditionalFormatting>
  <conditionalFormatting sqref="AL235">
    <cfRule type="endsWith" dxfId="2277" priority="2949" operator="endsWith" text="x">
      <formula>RIGHT(AL235,LEN("x"))="x"</formula>
    </cfRule>
  </conditionalFormatting>
  <conditionalFormatting sqref="AB235:AL239">
    <cfRule type="endsWith" dxfId="2276" priority="2948" operator="endsWith" text="x">
      <formula>RIGHT(AB235,LEN("x"))="x"</formula>
    </cfRule>
  </conditionalFormatting>
  <conditionalFormatting sqref="AD235">
    <cfRule type="endsWith" dxfId="2275" priority="2947" operator="endsWith" text="x">
      <formula>RIGHT(AD235,LEN("x"))="x"</formula>
    </cfRule>
  </conditionalFormatting>
  <conditionalFormatting sqref="AD235">
    <cfRule type="endsWith" dxfId="2274" priority="2946" operator="endsWith" text="x">
      <formula>RIGHT(AD235,LEN("x"))="x"</formula>
    </cfRule>
  </conditionalFormatting>
  <conditionalFormatting sqref="AD236">
    <cfRule type="endsWith" dxfId="2273" priority="2945" operator="endsWith" text="x">
      <formula>RIGHT(AD236,LEN("x"))="x"</formula>
    </cfRule>
  </conditionalFormatting>
  <conditionalFormatting sqref="AD236">
    <cfRule type="endsWith" dxfId="2272" priority="2944" operator="endsWith" text="x">
      <formula>RIGHT(AD236,LEN("x"))="x"</formula>
    </cfRule>
  </conditionalFormatting>
  <conditionalFormatting sqref="AD237">
    <cfRule type="endsWith" dxfId="2271" priority="2943" operator="endsWith" text="x">
      <formula>RIGHT(AD237,LEN("x"))="x"</formula>
    </cfRule>
  </conditionalFormatting>
  <conditionalFormatting sqref="AD237">
    <cfRule type="endsWith" dxfId="2270" priority="2942" operator="endsWith" text="x">
      <formula>RIGHT(AD237,LEN("x"))="x"</formula>
    </cfRule>
  </conditionalFormatting>
  <conditionalFormatting sqref="AD238">
    <cfRule type="endsWith" dxfId="2269" priority="2941" operator="endsWith" text="x">
      <formula>RIGHT(AD238,LEN("x"))="x"</formula>
    </cfRule>
  </conditionalFormatting>
  <conditionalFormatting sqref="AD238">
    <cfRule type="endsWith" dxfId="2268" priority="2940" operator="endsWith" text="x">
      <formula>RIGHT(AD238,LEN("x"))="x"</formula>
    </cfRule>
  </conditionalFormatting>
  <conditionalFormatting sqref="AD239">
    <cfRule type="endsWith" dxfId="2267" priority="2939" operator="endsWith" text="x">
      <formula>RIGHT(AD239,LEN("x"))="x"</formula>
    </cfRule>
  </conditionalFormatting>
  <conditionalFormatting sqref="AD239">
    <cfRule type="endsWith" dxfId="2266" priority="2938" operator="endsWith" text="x">
      <formula>RIGHT(AD239,LEN("x"))="x"</formula>
    </cfRule>
  </conditionalFormatting>
  <conditionalFormatting sqref="AF235">
    <cfRule type="endsWith" dxfId="2265" priority="2937" operator="endsWith" text="x">
      <formula>RIGHT(AF235,LEN("x"))="x"</formula>
    </cfRule>
  </conditionalFormatting>
  <conditionalFormatting sqref="AF235">
    <cfRule type="endsWith" dxfId="2264" priority="2936" operator="endsWith" text="x">
      <formula>RIGHT(AF235,LEN("x"))="x"</formula>
    </cfRule>
  </conditionalFormatting>
  <conditionalFormatting sqref="AF236">
    <cfRule type="endsWith" dxfId="2263" priority="2935" operator="endsWith" text="x">
      <formula>RIGHT(AF236,LEN("x"))="x"</formula>
    </cfRule>
  </conditionalFormatting>
  <conditionalFormatting sqref="AF236">
    <cfRule type="endsWith" dxfId="2262" priority="2934" operator="endsWith" text="x">
      <formula>RIGHT(AF236,LEN("x"))="x"</formula>
    </cfRule>
  </conditionalFormatting>
  <conditionalFormatting sqref="AF237">
    <cfRule type="endsWith" dxfId="2261" priority="2933" operator="endsWith" text="x">
      <formula>RIGHT(AF237,LEN("x"))="x"</formula>
    </cfRule>
  </conditionalFormatting>
  <conditionalFormatting sqref="AF237">
    <cfRule type="endsWith" dxfId="2260" priority="2932" operator="endsWith" text="x">
      <formula>RIGHT(AF237,LEN("x"))="x"</formula>
    </cfRule>
  </conditionalFormatting>
  <conditionalFormatting sqref="AF238">
    <cfRule type="endsWith" dxfId="2259" priority="2931" operator="endsWith" text="x">
      <formula>RIGHT(AF238,LEN("x"))="x"</formula>
    </cfRule>
  </conditionalFormatting>
  <conditionalFormatting sqref="AF238">
    <cfRule type="endsWith" dxfId="2258" priority="2930" operator="endsWith" text="x">
      <formula>RIGHT(AF238,LEN("x"))="x"</formula>
    </cfRule>
  </conditionalFormatting>
  <conditionalFormatting sqref="AF239">
    <cfRule type="endsWith" dxfId="2257" priority="2929" operator="endsWith" text="x">
      <formula>RIGHT(AF239,LEN("x"))="x"</formula>
    </cfRule>
  </conditionalFormatting>
  <conditionalFormatting sqref="AF239">
    <cfRule type="endsWith" dxfId="2256" priority="2928" operator="endsWith" text="x">
      <formula>RIGHT(AF239,LEN("x"))="x"</formula>
    </cfRule>
  </conditionalFormatting>
  <conditionalFormatting sqref="AE236">
    <cfRule type="endsWith" dxfId="2255" priority="2927" operator="endsWith" text="x">
      <formula>RIGHT(AE236,LEN("x"))="x"</formula>
    </cfRule>
  </conditionalFormatting>
  <conditionalFormatting sqref="AE237">
    <cfRule type="endsWith" dxfId="2254" priority="2926" operator="endsWith" text="x">
      <formula>RIGHT(AE237,LEN("x"))="x"</formula>
    </cfRule>
  </conditionalFormatting>
  <conditionalFormatting sqref="AE238">
    <cfRule type="endsWith" dxfId="2253" priority="2925" operator="endsWith" text="x">
      <formula>RIGHT(AE238,LEN("x"))="x"</formula>
    </cfRule>
  </conditionalFormatting>
  <conditionalFormatting sqref="AE238">
    <cfRule type="endsWith" dxfId="2252" priority="2924" operator="endsWith" text="x">
      <formula>RIGHT(AE238,LEN("x"))="x"</formula>
    </cfRule>
  </conditionalFormatting>
  <conditionalFormatting sqref="AE239">
    <cfRule type="endsWith" dxfId="2251" priority="2923" operator="endsWith" text="x">
      <formula>RIGHT(AE239,LEN("x"))="x"</formula>
    </cfRule>
  </conditionalFormatting>
  <conditionalFormatting sqref="AG235">
    <cfRule type="endsWith" dxfId="2250" priority="2922" operator="endsWith" text="x">
      <formula>RIGHT(AG235,LEN("x"))="x"</formula>
    </cfRule>
  </conditionalFormatting>
  <conditionalFormatting sqref="AG235">
    <cfRule type="endsWith" dxfId="2249" priority="2921" operator="endsWith" text="x">
      <formula>RIGHT(AG235,LEN("x"))="x"</formula>
    </cfRule>
  </conditionalFormatting>
  <conditionalFormatting sqref="AG236">
    <cfRule type="endsWith" dxfId="2248" priority="2920" operator="endsWith" text="x">
      <formula>RIGHT(AG236,LEN("x"))="x"</formula>
    </cfRule>
  </conditionalFormatting>
  <conditionalFormatting sqref="AG236">
    <cfRule type="endsWith" dxfId="2247" priority="2919" operator="endsWith" text="x">
      <formula>RIGHT(AG236,LEN("x"))="x"</formula>
    </cfRule>
  </conditionalFormatting>
  <conditionalFormatting sqref="AG237">
    <cfRule type="endsWith" dxfId="2246" priority="2918" operator="endsWith" text="x">
      <formula>RIGHT(AG237,LEN("x"))="x"</formula>
    </cfRule>
  </conditionalFormatting>
  <conditionalFormatting sqref="AG237">
    <cfRule type="endsWith" dxfId="2245" priority="2917" operator="endsWith" text="x">
      <formula>RIGHT(AG237,LEN("x"))="x"</formula>
    </cfRule>
  </conditionalFormatting>
  <conditionalFormatting sqref="AG238">
    <cfRule type="endsWith" dxfId="2244" priority="2916" operator="endsWith" text="x">
      <formula>RIGHT(AG238,LEN("x"))="x"</formula>
    </cfRule>
  </conditionalFormatting>
  <conditionalFormatting sqref="AG238">
    <cfRule type="endsWith" dxfId="2243" priority="2915" operator="endsWith" text="x">
      <formula>RIGHT(AG238,LEN("x"))="x"</formula>
    </cfRule>
  </conditionalFormatting>
  <conditionalFormatting sqref="AG239">
    <cfRule type="endsWith" dxfId="2242" priority="2914" operator="endsWith" text="x">
      <formula>RIGHT(AG239,LEN("x"))="x"</formula>
    </cfRule>
  </conditionalFormatting>
  <conditionalFormatting sqref="AH235:AH239">
    <cfRule type="endsWith" dxfId="2241" priority="2913" operator="endsWith" text="x">
      <formula>RIGHT(AH235,LEN("x"))="x"</formula>
    </cfRule>
  </conditionalFormatting>
  <conditionalFormatting sqref="AH236">
    <cfRule type="endsWith" dxfId="2240" priority="2912" operator="endsWith" text="x">
      <formula>RIGHT(AH236,LEN("x"))="x"</formula>
    </cfRule>
  </conditionalFormatting>
  <conditionalFormatting sqref="AH238">
    <cfRule type="endsWith" dxfId="2239" priority="2911" operator="endsWith" text="x">
      <formula>RIGHT(AH238,LEN("x"))="x"</formula>
    </cfRule>
  </conditionalFormatting>
  <conditionalFormatting sqref="AC235:AC239">
    <cfRule type="endsWith" dxfId="2238" priority="2910" operator="endsWith" text="x">
      <formula>RIGHT(AC235,LEN("x"))="x"</formula>
    </cfRule>
  </conditionalFormatting>
  <conditionalFormatting sqref="AC236">
    <cfRule type="endsWith" dxfId="2237" priority="2909" operator="endsWith" text="x">
      <formula>RIGHT(AC236,LEN("x"))="x"</formula>
    </cfRule>
  </conditionalFormatting>
  <conditionalFormatting sqref="AC237">
    <cfRule type="endsWith" dxfId="2236" priority="2908" operator="endsWith" text="x">
      <formula>RIGHT(AC237,LEN("x"))="x"</formula>
    </cfRule>
  </conditionalFormatting>
  <conditionalFormatting sqref="AC238">
    <cfRule type="endsWith" dxfId="2235" priority="2907" operator="endsWith" text="x">
      <formula>RIGHT(AC238,LEN("x"))="x"</formula>
    </cfRule>
  </conditionalFormatting>
  <conditionalFormatting sqref="AI235:AL239">
    <cfRule type="endsWith" dxfId="2234" priority="2906" operator="endsWith" text="x">
      <formula>RIGHT(AI235,LEN("x"))="x"</formula>
    </cfRule>
  </conditionalFormatting>
  <conditionalFormatting sqref="AL235">
    <cfRule type="endsWith" dxfId="2233" priority="2905" operator="endsWith" text="x">
      <formula>RIGHT(AL235,LEN("x"))="x"</formula>
    </cfRule>
  </conditionalFormatting>
  <conditionalFormatting sqref="AB235:AL239">
    <cfRule type="endsWith" dxfId="2232" priority="2904" operator="endsWith" text="x">
      <formula>RIGHT(AB235,LEN("x"))="x"</formula>
    </cfRule>
  </conditionalFormatting>
  <conditionalFormatting sqref="AD235">
    <cfRule type="endsWith" dxfId="2231" priority="2903" operator="endsWith" text="x">
      <formula>RIGHT(AD235,LEN("x"))="x"</formula>
    </cfRule>
  </conditionalFormatting>
  <conditionalFormatting sqref="AD235">
    <cfRule type="endsWith" dxfId="2230" priority="2902" operator="endsWith" text="x">
      <formula>RIGHT(AD235,LEN("x"))="x"</formula>
    </cfRule>
  </conditionalFormatting>
  <conditionalFormatting sqref="AD236">
    <cfRule type="endsWith" dxfId="2229" priority="2901" operator="endsWith" text="x">
      <formula>RIGHT(AD236,LEN("x"))="x"</formula>
    </cfRule>
  </conditionalFormatting>
  <conditionalFormatting sqref="AD236">
    <cfRule type="endsWith" dxfId="2228" priority="2900" operator="endsWith" text="x">
      <formula>RIGHT(AD236,LEN("x"))="x"</formula>
    </cfRule>
  </conditionalFormatting>
  <conditionalFormatting sqref="AD237">
    <cfRule type="endsWith" dxfId="2227" priority="2899" operator="endsWith" text="x">
      <formula>RIGHT(AD237,LEN("x"))="x"</formula>
    </cfRule>
  </conditionalFormatting>
  <conditionalFormatting sqref="AD237">
    <cfRule type="endsWith" dxfId="2226" priority="2898" operator="endsWith" text="x">
      <formula>RIGHT(AD237,LEN("x"))="x"</formula>
    </cfRule>
  </conditionalFormatting>
  <conditionalFormatting sqref="AD238">
    <cfRule type="endsWith" dxfId="2225" priority="2897" operator="endsWith" text="x">
      <formula>RIGHT(AD238,LEN("x"))="x"</formula>
    </cfRule>
  </conditionalFormatting>
  <conditionalFormatting sqref="AD238">
    <cfRule type="endsWith" dxfId="2224" priority="2896" operator="endsWith" text="x">
      <formula>RIGHT(AD238,LEN("x"))="x"</formula>
    </cfRule>
  </conditionalFormatting>
  <conditionalFormatting sqref="AD239">
    <cfRule type="endsWith" dxfId="2223" priority="2895" operator="endsWith" text="x">
      <formula>RIGHT(AD239,LEN("x"))="x"</formula>
    </cfRule>
  </conditionalFormatting>
  <conditionalFormatting sqref="AD239">
    <cfRule type="endsWith" dxfId="2222" priority="2894" operator="endsWith" text="x">
      <formula>RIGHT(AD239,LEN("x"))="x"</formula>
    </cfRule>
  </conditionalFormatting>
  <conditionalFormatting sqref="AF235">
    <cfRule type="endsWith" dxfId="2221" priority="2893" operator="endsWith" text="x">
      <formula>RIGHT(AF235,LEN("x"))="x"</formula>
    </cfRule>
  </conditionalFormatting>
  <conditionalFormatting sqref="AF235">
    <cfRule type="endsWith" dxfId="2220" priority="2892" operator="endsWith" text="x">
      <formula>RIGHT(AF235,LEN("x"))="x"</formula>
    </cfRule>
  </conditionalFormatting>
  <conditionalFormatting sqref="AF236">
    <cfRule type="endsWith" dxfId="2219" priority="2891" operator="endsWith" text="x">
      <formula>RIGHT(AF236,LEN("x"))="x"</formula>
    </cfRule>
  </conditionalFormatting>
  <conditionalFormatting sqref="AF236">
    <cfRule type="endsWith" dxfId="2218" priority="2890" operator="endsWith" text="x">
      <formula>RIGHT(AF236,LEN("x"))="x"</formula>
    </cfRule>
  </conditionalFormatting>
  <conditionalFormatting sqref="AF237">
    <cfRule type="endsWith" dxfId="2217" priority="2889" operator="endsWith" text="x">
      <formula>RIGHT(AF237,LEN("x"))="x"</formula>
    </cfRule>
  </conditionalFormatting>
  <conditionalFormatting sqref="AF237">
    <cfRule type="endsWith" dxfId="2216" priority="2888" operator="endsWith" text="x">
      <formula>RIGHT(AF237,LEN("x"))="x"</formula>
    </cfRule>
  </conditionalFormatting>
  <conditionalFormatting sqref="AF238">
    <cfRule type="endsWith" dxfId="2215" priority="2887" operator="endsWith" text="x">
      <formula>RIGHT(AF238,LEN("x"))="x"</formula>
    </cfRule>
  </conditionalFormatting>
  <conditionalFormatting sqref="AF238">
    <cfRule type="endsWith" dxfId="2214" priority="2886" operator="endsWith" text="x">
      <formula>RIGHT(AF238,LEN("x"))="x"</formula>
    </cfRule>
  </conditionalFormatting>
  <conditionalFormatting sqref="AF239">
    <cfRule type="endsWith" dxfId="2213" priority="2885" operator="endsWith" text="x">
      <formula>RIGHT(AF239,LEN("x"))="x"</formula>
    </cfRule>
  </conditionalFormatting>
  <conditionalFormatting sqref="AF239">
    <cfRule type="endsWith" dxfId="2212" priority="2884" operator="endsWith" text="x">
      <formula>RIGHT(AF239,LEN("x"))="x"</formula>
    </cfRule>
  </conditionalFormatting>
  <conditionalFormatting sqref="AE236">
    <cfRule type="endsWith" dxfId="2211" priority="2883" operator="endsWith" text="x">
      <formula>RIGHT(AE236,LEN("x"))="x"</formula>
    </cfRule>
  </conditionalFormatting>
  <conditionalFormatting sqref="AE237">
    <cfRule type="endsWith" dxfId="2210" priority="2882" operator="endsWith" text="x">
      <formula>RIGHT(AE237,LEN("x"))="x"</formula>
    </cfRule>
  </conditionalFormatting>
  <conditionalFormatting sqref="AE238">
    <cfRule type="endsWith" dxfId="2209" priority="2881" operator="endsWith" text="x">
      <formula>RIGHT(AE238,LEN("x"))="x"</formula>
    </cfRule>
  </conditionalFormatting>
  <conditionalFormatting sqref="AE238">
    <cfRule type="endsWith" dxfId="2208" priority="2880" operator="endsWith" text="x">
      <formula>RIGHT(AE238,LEN("x"))="x"</formula>
    </cfRule>
  </conditionalFormatting>
  <conditionalFormatting sqref="AE239">
    <cfRule type="endsWith" dxfId="2207" priority="2879" operator="endsWith" text="x">
      <formula>RIGHT(AE239,LEN("x"))="x"</formula>
    </cfRule>
  </conditionalFormatting>
  <conditionalFormatting sqref="AG235">
    <cfRule type="endsWith" dxfId="2206" priority="2878" operator="endsWith" text="x">
      <formula>RIGHT(AG235,LEN("x"))="x"</formula>
    </cfRule>
  </conditionalFormatting>
  <conditionalFormatting sqref="AG235">
    <cfRule type="endsWith" dxfId="2205" priority="2877" operator="endsWith" text="x">
      <formula>RIGHT(AG235,LEN("x"))="x"</formula>
    </cfRule>
  </conditionalFormatting>
  <conditionalFormatting sqref="AG236">
    <cfRule type="endsWith" dxfId="2204" priority="2876" operator="endsWith" text="x">
      <formula>RIGHT(AG236,LEN("x"))="x"</formula>
    </cfRule>
  </conditionalFormatting>
  <conditionalFormatting sqref="AG236">
    <cfRule type="endsWith" dxfId="2203" priority="2875" operator="endsWith" text="x">
      <formula>RIGHT(AG236,LEN("x"))="x"</formula>
    </cfRule>
  </conditionalFormatting>
  <conditionalFormatting sqref="AG237">
    <cfRule type="endsWith" dxfId="2202" priority="2874" operator="endsWith" text="x">
      <formula>RIGHT(AG237,LEN("x"))="x"</formula>
    </cfRule>
  </conditionalFormatting>
  <conditionalFormatting sqref="AG237">
    <cfRule type="endsWith" dxfId="2201" priority="2873" operator="endsWith" text="x">
      <formula>RIGHT(AG237,LEN("x"))="x"</formula>
    </cfRule>
  </conditionalFormatting>
  <conditionalFormatting sqref="AG238">
    <cfRule type="endsWith" dxfId="2200" priority="2872" operator="endsWith" text="x">
      <formula>RIGHT(AG238,LEN("x"))="x"</formula>
    </cfRule>
  </conditionalFormatting>
  <conditionalFormatting sqref="AG238">
    <cfRule type="endsWith" dxfId="2199" priority="2871" operator="endsWith" text="x">
      <formula>RIGHT(AG238,LEN("x"))="x"</formula>
    </cfRule>
  </conditionalFormatting>
  <conditionalFormatting sqref="AG239">
    <cfRule type="endsWith" dxfId="2198" priority="2870" operator="endsWith" text="x">
      <formula>RIGHT(AG239,LEN("x"))="x"</formula>
    </cfRule>
  </conditionalFormatting>
  <conditionalFormatting sqref="AH235:AH239">
    <cfRule type="endsWith" dxfId="2197" priority="2869" operator="endsWith" text="x">
      <formula>RIGHT(AH235,LEN("x"))="x"</formula>
    </cfRule>
  </conditionalFormatting>
  <conditionalFormatting sqref="AH236">
    <cfRule type="endsWith" dxfId="2196" priority="2868" operator="endsWith" text="x">
      <formula>RIGHT(AH236,LEN("x"))="x"</formula>
    </cfRule>
  </conditionalFormatting>
  <conditionalFormatting sqref="AH238">
    <cfRule type="endsWith" dxfId="2195" priority="2867" operator="endsWith" text="x">
      <formula>RIGHT(AH238,LEN("x"))="x"</formula>
    </cfRule>
  </conditionalFormatting>
  <conditionalFormatting sqref="AC235:AC239">
    <cfRule type="endsWith" dxfId="2194" priority="2866" operator="endsWith" text="x">
      <formula>RIGHT(AC235,LEN("x"))="x"</formula>
    </cfRule>
  </conditionalFormatting>
  <conditionalFormatting sqref="AC236">
    <cfRule type="endsWith" dxfId="2193" priority="2865" operator="endsWith" text="x">
      <formula>RIGHT(AC236,LEN("x"))="x"</formula>
    </cfRule>
  </conditionalFormatting>
  <conditionalFormatting sqref="AC237">
    <cfRule type="endsWith" dxfId="2192" priority="2864" operator="endsWith" text="x">
      <formula>RIGHT(AC237,LEN("x"))="x"</formula>
    </cfRule>
  </conditionalFormatting>
  <conditionalFormatting sqref="AC238">
    <cfRule type="endsWith" dxfId="2191" priority="2863" operator="endsWith" text="x">
      <formula>RIGHT(AC238,LEN("x"))="x"</formula>
    </cfRule>
  </conditionalFormatting>
  <conditionalFormatting sqref="AI235:AL239">
    <cfRule type="endsWith" dxfId="2190" priority="2862" operator="endsWith" text="x">
      <formula>RIGHT(AI235,LEN("x"))="x"</formula>
    </cfRule>
  </conditionalFormatting>
  <conditionalFormatting sqref="AL235">
    <cfRule type="endsWith" dxfId="2189" priority="2861" operator="endsWith" text="x">
      <formula>RIGHT(AL235,LEN("x"))="x"</formula>
    </cfRule>
  </conditionalFormatting>
  <conditionalFormatting sqref="AE235">
    <cfRule type="endsWith" dxfId="2188" priority="2860" operator="endsWith" text="x">
      <formula>RIGHT(AE235,LEN("x"))="x"</formula>
    </cfRule>
  </conditionalFormatting>
  <conditionalFormatting sqref="AB299:AL303">
    <cfRule type="endsWith" dxfId="2187" priority="2859" operator="endsWith" text="x">
      <formula>RIGHT(AB299,LEN("x"))="x"</formula>
    </cfRule>
  </conditionalFormatting>
  <conditionalFormatting sqref="AD299">
    <cfRule type="endsWith" dxfId="2186" priority="2858" operator="endsWith" text="x">
      <formula>RIGHT(AD299,LEN("x"))="x"</formula>
    </cfRule>
  </conditionalFormatting>
  <conditionalFormatting sqref="AD299">
    <cfRule type="endsWith" dxfId="2185" priority="2857" operator="endsWith" text="x">
      <formula>RIGHT(AD299,LEN("x"))="x"</formula>
    </cfRule>
  </conditionalFormatting>
  <conditionalFormatting sqref="AD300">
    <cfRule type="endsWith" dxfId="2184" priority="2856" operator="endsWith" text="x">
      <formula>RIGHT(AD300,LEN("x"))="x"</formula>
    </cfRule>
  </conditionalFormatting>
  <conditionalFormatting sqref="AD300">
    <cfRule type="endsWith" dxfId="2183" priority="2855" operator="endsWith" text="x">
      <formula>RIGHT(AD300,LEN("x"))="x"</formula>
    </cfRule>
  </conditionalFormatting>
  <conditionalFormatting sqref="AD301">
    <cfRule type="endsWith" dxfId="2182" priority="2854" operator="endsWith" text="x">
      <formula>RIGHT(AD301,LEN("x"))="x"</formula>
    </cfRule>
  </conditionalFormatting>
  <conditionalFormatting sqref="AD301">
    <cfRule type="endsWith" dxfId="2181" priority="2853" operator="endsWith" text="x">
      <formula>RIGHT(AD301,LEN("x"))="x"</formula>
    </cfRule>
  </conditionalFormatting>
  <conditionalFormatting sqref="AD302">
    <cfRule type="endsWith" dxfId="2180" priority="2852" operator="endsWith" text="x">
      <formula>RIGHT(AD302,LEN("x"))="x"</formula>
    </cfRule>
  </conditionalFormatting>
  <conditionalFormatting sqref="AD302">
    <cfRule type="endsWith" dxfId="2179" priority="2851" operator="endsWith" text="x">
      <formula>RIGHT(AD302,LEN("x"))="x"</formula>
    </cfRule>
  </conditionalFormatting>
  <conditionalFormatting sqref="AD303">
    <cfRule type="endsWith" dxfId="2178" priority="2850" operator="endsWith" text="x">
      <formula>RIGHT(AD303,LEN("x"))="x"</formula>
    </cfRule>
  </conditionalFormatting>
  <conditionalFormatting sqref="AD303">
    <cfRule type="endsWith" dxfId="2177" priority="2849" operator="endsWith" text="x">
      <formula>RIGHT(AD303,LEN("x"))="x"</formula>
    </cfRule>
  </conditionalFormatting>
  <conditionalFormatting sqref="AF299">
    <cfRule type="endsWith" dxfId="2176" priority="2848" operator="endsWith" text="x">
      <formula>RIGHT(AF299,LEN("x"))="x"</formula>
    </cfRule>
  </conditionalFormatting>
  <conditionalFormatting sqref="AF299">
    <cfRule type="endsWith" dxfId="2175" priority="2847" operator="endsWith" text="x">
      <formula>RIGHT(AF299,LEN("x"))="x"</formula>
    </cfRule>
  </conditionalFormatting>
  <conditionalFormatting sqref="AF300">
    <cfRule type="endsWith" dxfId="2174" priority="2846" operator="endsWith" text="x">
      <formula>RIGHT(AF300,LEN("x"))="x"</formula>
    </cfRule>
  </conditionalFormatting>
  <conditionalFormatting sqref="AF300">
    <cfRule type="endsWith" dxfId="2173" priority="2845" operator="endsWith" text="x">
      <formula>RIGHT(AF300,LEN("x"))="x"</formula>
    </cfRule>
  </conditionalFormatting>
  <conditionalFormatting sqref="AF301">
    <cfRule type="endsWith" dxfId="2172" priority="2844" operator="endsWith" text="x">
      <formula>RIGHT(AF301,LEN("x"))="x"</formula>
    </cfRule>
  </conditionalFormatting>
  <conditionalFormatting sqref="AF301">
    <cfRule type="endsWith" dxfId="2171" priority="2843" operator="endsWith" text="x">
      <formula>RIGHT(AF301,LEN("x"))="x"</formula>
    </cfRule>
  </conditionalFormatting>
  <conditionalFormatting sqref="AF302">
    <cfRule type="endsWith" dxfId="2170" priority="2842" operator="endsWith" text="x">
      <formula>RIGHT(AF302,LEN("x"))="x"</formula>
    </cfRule>
  </conditionalFormatting>
  <conditionalFormatting sqref="AF302">
    <cfRule type="endsWith" dxfId="2169" priority="2841" operator="endsWith" text="x">
      <formula>RIGHT(AF302,LEN("x"))="x"</formula>
    </cfRule>
  </conditionalFormatting>
  <conditionalFormatting sqref="AF303">
    <cfRule type="endsWith" dxfId="2168" priority="2840" operator="endsWith" text="x">
      <formula>RIGHT(AF303,LEN("x"))="x"</formula>
    </cfRule>
  </conditionalFormatting>
  <conditionalFormatting sqref="AF303">
    <cfRule type="endsWith" dxfId="2167" priority="2839" operator="endsWith" text="x">
      <formula>RIGHT(AF303,LEN("x"))="x"</formula>
    </cfRule>
  </conditionalFormatting>
  <conditionalFormatting sqref="AE300">
    <cfRule type="endsWith" dxfId="2166" priority="2838" operator="endsWith" text="x">
      <formula>RIGHT(AE300,LEN("x"))="x"</formula>
    </cfRule>
  </conditionalFormatting>
  <conditionalFormatting sqref="AE301">
    <cfRule type="endsWith" dxfId="2165" priority="2837" operator="endsWith" text="x">
      <formula>RIGHT(AE301,LEN("x"))="x"</formula>
    </cfRule>
  </conditionalFormatting>
  <conditionalFormatting sqref="AE302">
    <cfRule type="endsWith" dxfId="2164" priority="2836" operator="endsWith" text="x">
      <formula>RIGHT(AE302,LEN("x"))="x"</formula>
    </cfRule>
  </conditionalFormatting>
  <conditionalFormatting sqref="AE302">
    <cfRule type="endsWith" dxfId="2163" priority="2835" operator="endsWith" text="x">
      <formula>RIGHT(AE302,LEN("x"))="x"</formula>
    </cfRule>
  </conditionalFormatting>
  <conditionalFormatting sqref="AE303">
    <cfRule type="endsWith" dxfId="2162" priority="2834" operator="endsWith" text="x">
      <formula>RIGHT(AE303,LEN("x"))="x"</formula>
    </cfRule>
  </conditionalFormatting>
  <conditionalFormatting sqref="AG299">
    <cfRule type="endsWith" dxfId="2161" priority="2833" operator="endsWith" text="x">
      <formula>RIGHT(AG299,LEN("x"))="x"</formula>
    </cfRule>
  </conditionalFormatting>
  <conditionalFormatting sqref="AG299">
    <cfRule type="endsWith" dxfId="2160" priority="2832" operator="endsWith" text="x">
      <formula>RIGHT(AG299,LEN("x"))="x"</formula>
    </cfRule>
  </conditionalFormatting>
  <conditionalFormatting sqref="AG300">
    <cfRule type="endsWith" dxfId="2159" priority="2831" operator="endsWith" text="x">
      <formula>RIGHT(AG300,LEN("x"))="x"</formula>
    </cfRule>
  </conditionalFormatting>
  <conditionalFormatting sqref="AG300">
    <cfRule type="endsWith" dxfId="2158" priority="2830" operator="endsWith" text="x">
      <formula>RIGHT(AG300,LEN("x"))="x"</formula>
    </cfRule>
  </conditionalFormatting>
  <conditionalFormatting sqref="AG301">
    <cfRule type="endsWith" dxfId="2157" priority="2829" operator="endsWith" text="x">
      <formula>RIGHT(AG301,LEN("x"))="x"</formula>
    </cfRule>
  </conditionalFormatting>
  <conditionalFormatting sqref="AG301">
    <cfRule type="endsWith" dxfId="2156" priority="2828" operator="endsWith" text="x">
      <formula>RIGHT(AG301,LEN("x"))="x"</formula>
    </cfRule>
  </conditionalFormatting>
  <conditionalFormatting sqref="AG302">
    <cfRule type="endsWith" dxfId="2155" priority="2827" operator="endsWith" text="x">
      <formula>RIGHT(AG302,LEN("x"))="x"</formula>
    </cfRule>
  </conditionalFormatting>
  <conditionalFormatting sqref="AG302">
    <cfRule type="endsWith" dxfId="2154" priority="2826" operator="endsWith" text="x">
      <formula>RIGHT(AG302,LEN("x"))="x"</formula>
    </cfRule>
  </conditionalFormatting>
  <conditionalFormatting sqref="AG303">
    <cfRule type="endsWith" dxfId="2153" priority="2825" operator="endsWith" text="x">
      <formula>RIGHT(AG303,LEN("x"))="x"</formula>
    </cfRule>
  </conditionalFormatting>
  <conditionalFormatting sqref="AH299:AH303">
    <cfRule type="endsWith" dxfId="2152" priority="2824" operator="endsWith" text="x">
      <formula>RIGHT(AH299,LEN("x"))="x"</formula>
    </cfRule>
  </conditionalFormatting>
  <conditionalFormatting sqref="AH300">
    <cfRule type="endsWith" dxfId="2151" priority="2823" operator="endsWith" text="x">
      <formula>RIGHT(AH300,LEN("x"))="x"</formula>
    </cfRule>
  </conditionalFormatting>
  <conditionalFormatting sqref="AH302">
    <cfRule type="endsWith" dxfId="2150" priority="2822" operator="endsWith" text="x">
      <formula>RIGHT(AH302,LEN("x"))="x"</formula>
    </cfRule>
  </conditionalFormatting>
  <conditionalFormatting sqref="AC299:AC303">
    <cfRule type="endsWith" dxfId="2149" priority="2821" operator="endsWith" text="x">
      <formula>RIGHT(AC299,LEN("x"))="x"</formula>
    </cfRule>
  </conditionalFormatting>
  <conditionalFormatting sqref="AC300">
    <cfRule type="endsWith" dxfId="2148" priority="2820" operator="endsWith" text="x">
      <formula>RIGHT(AC300,LEN("x"))="x"</formula>
    </cfRule>
  </conditionalFormatting>
  <conditionalFormatting sqref="AC301">
    <cfRule type="endsWith" dxfId="2147" priority="2819" operator="endsWith" text="x">
      <formula>RIGHT(AC301,LEN("x"))="x"</formula>
    </cfRule>
  </conditionalFormatting>
  <conditionalFormatting sqref="AC302">
    <cfRule type="endsWith" dxfId="2146" priority="2818" operator="endsWith" text="x">
      <formula>RIGHT(AC302,LEN("x"))="x"</formula>
    </cfRule>
  </conditionalFormatting>
  <conditionalFormatting sqref="AI299:AL303">
    <cfRule type="endsWith" dxfId="2145" priority="2817" operator="endsWith" text="x">
      <formula>RIGHT(AI299,LEN("x"))="x"</formula>
    </cfRule>
  </conditionalFormatting>
  <conditionalFormatting sqref="AL299">
    <cfRule type="endsWith" dxfId="2144" priority="2816" operator="endsWith" text="x">
      <formula>RIGHT(AL299,LEN("x"))="x"</formula>
    </cfRule>
  </conditionalFormatting>
  <conditionalFormatting sqref="AB299:AL303">
    <cfRule type="endsWith" dxfId="2143" priority="2815" operator="endsWith" text="x">
      <formula>RIGHT(AB299,LEN("x"))="x"</formula>
    </cfRule>
  </conditionalFormatting>
  <conditionalFormatting sqref="AD299">
    <cfRule type="endsWith" dxfId="2142" priority="2814" operator="endsWith" text="x">
      <formula>RIGHT(AD299,LEN("x"))="x"</formula>
    </cfRule>
  </conditionalFormatting>
  <conditionalFormatting sqref="AD299">
    <cfRule type="endsWith" dxfId="2141" priority="2813" operator="endsWith" text="x">
      <formula>RIGHT(AD299,LEN("x"))="x"</formula>
    </cfRule>
  </conditionalFormatting>
  <conditionalFormatting sqref="AD300">
    <cfRule type="endsWith" dxfId="2140" priority="2812" operator="endsWith" text="x">
      <formula>RIGHT(AD300,LEN("x"))="x"</formula>
    </cfRule>
  </conditionalFormatting>
  <conditionalFormatting sqref="AD300">
    <cfRule type="endsWith" dxfId="2139" priority="2811" operator="endsWith" text="x">
      <formula>RIGHT(AD300,LEN("x"))="x"</formula>
    </cfRule>
  </conditionalFormatting>
  <conditionalFormatting sqref="AD301">
    <cfRule type="endsWith" dxfId="2138" priority="2810" operator="endsWith" text="x">
      <formula>RIGHT(AD301,LEN("x"))="x"</formula>
    </cfRule>
  </conditionalFormatting>
  <conditionalFormatting sqref="AD301">
    <cfRule type="endsWith" dxfId="2137" priority="2809" operator="endsWith" text="x">
      <formula>RIGHT(AD301,LEN("x"))="x"</formula>
    </cfRule>
  </conditionalFormatting>
  <conditionalFormatting sqref="AD302">
    <cfRule type="endsWith" dxfId="2136" priority="2808" operator="endsWith" text="x">
      <formula>RIGHT(AD302,LEN("x"))="x"</formula>
    </cfRule>
  </conditionalFormatting>
  <conditionalFormatting sqref="AD302">
    <cfRule type="endsWith" dxfId="2135" priority="2807" operator="endsWith" text="x">
      <formula>RIGHT(AD302,LEN("x"))="x"</formula>
    </cfRule>
  </conditionalFormatting>
  <conditionalFormatting sqref="AD303">
    <cfRule type="endsWith" dxfId="2134" priority="2806" operator="endsWith" text="x">
      <formula>RIGHT(AD303,LEN("x"))="x"</formula>
    </cfRule>
  </conditionalFormatting>
  <conditionalFormatting sqref="AD303">
    <cfRule type="endsWith" dxfId="2133" priority="2805" operator="endsWith" text="x">
      <formula>RIGHT(AD303,LEN("x"))="x"</formula>
    </cfRule>
  </conditionalFormatting>
  <conditionalFormatting sqref="AF299">
    <cfRule type="endsWith" dxfId="2132" priority="2804" operator="endsWith" text="x">
      <formula>RIGHT(AF299,LEN("x"))="x"</formula>
    </cfRule>
  </conditionalFormatting>
  <conditionalFormatting sqref="AF299">
    <cfRule type="endsWith" dxfId="2131" priority="2803" operator="endsWith" text="x">
      <formula>RIGHT(AF299,LEN("x"))="x"</formula>
    </cfRule>
  </conditionalFormatting>
  <conditionalFormatting sqref="AF300">
    <cfRule type="endsWith" dxfId="2130" priority="2802" operator="endsWith" text="x">
      <formula>RIGHT(AF300,LEN("x"))="x"</formula>
    </cfRule>
  </conditionalFormatting>
  <conditionalFormatting sqref="AF300">
    <cfRule type="endsWith" dxfId="2129" priority="2801" operator="endsWith" text="x">
      <formula>RIGHT(AF300,LEN("x"))="x"</formula>
    </cfRule>
  </conditionalFormatting>
  <conditionalFormatting sqref="AF301">
    <cfRule type="endsWith" dxfId="2128" priority="2800" operator="endsWith" text="x">
      <formula>RIGHT(AF301,LEN("x"))="x"</formula>
    </cfRule>
  </conditionalFormatting>
  <conditionalFormatting sqref="AF301">
    <cfRule type="endsWith" dxfId="2127" priority="2799" operator="endsWith" text="x">
      <formula>RIGHT(AF301,LEN("x"))="x"</formula>
    </cfRule>
  </conditionalFormatting>
  <conditionalFormatting sqref="AF302">
    <cfRule type="endsWith" dxfId="2126" priority="2798" operator="endsWith" text="x">
      <formula>RIGHT(AF302,LEN("x"))="x"</formula>
    </cfRule>
  </conditionalFormatting>
  <conditionalFormatting sqref="AF302">
    <cfRule type="endsWith" dxfId="2125" priority="2797" operator="endsWith" text="x">
      <formula>RIGHT(AF302,LEN("x"))="x"</formula>
    </cfRule>
  </conditionalFormatting>
  <conditionalFormatting sqref="AF303">
    <cfRule type="endsWith" dxfId="2124" priority="2796" operator="endsWith" text="x">
      <formula>RIGHT(AF303,LEN("x"))="x"</formula>
    </cfRule>
  </conditionalFormatting>
  <conditionalFormatting sqref="AF303">
    <cfRule type="endsWith" dxfId="2123" priority="2795" operator="endsWith" text="x">
      <formula>RIGHT(AF303,LEN("x"))="x"</formula>
    </cfRule>
  </conditionalFormatting>
  <conditionalFormatting sqref="AE300">
    <cfRule type="endsWith" dxfId="2122" priority="2794" operator="endsWith" text="x">
      <formula>RIGHT(AE300,LEN("x"))="x"</formula>
    </cfRule>
  </conditionalFormatting>
  <conditionalFormatting sqref="AE301">
    <cfRule type="endsWith" dxfId="2121" priority="2793" operator="endsWith" text="x">
      <formula>RIGHT(AE301,LEN("x"))="x"</formula>
    </cfRule>
  </conditionalFormatting>
  <conditionalFormatting sqref="AE302">
    <cfRule type="endsWith" dxfId="2120" priority="2792" operator="endsWith" text="x">
      <formula>RIGHT(AE302,LEN("x"))="x"</formula>
    </cfRule>
  </conditionalFormatting>
  <conditionalFormatting sqref="AE302">
    <cfRule type="endsWith" dxfId="2119" priority="2791" operator="endsWith" text="x">
      <formula>RIGHT(AE302,LEN("x"))="x"</formula>
    </cfRule>
  </conditionalFormatting>
  <conditionalFormatting sqref="AE303">
    <cfRule type="endsWith" dxfId="2118" priority="2790" operator="endsWith" text="x">
      <formula>RIGHT(AE303,LEN("x"))="x"</formula>
    </cfRule>
  </conditionalFormatting>
  <conditionalFormatting sqref="AG299">
    <cfRule type="endsWith" dxfId="2117" priority="2789" operator="endsWith" text="x">
      <formula>RIGHT(AG299,LEN("x"))="x"</formula>
    </cfRule>
  </conditionalFormatting>
  <conditionalFormatting sqref="AG299">
    <cfRule type="endsWith" dxfId="2116" priority="2788" operator="endsWith" text="x">
      <formula>RIGHT(AG299,LEN("x"))="x"</formula>
    </cfRule>
  </conditionalFormatting>
  <conditionalFormatting sqref="AG300">
    <cfRule type="endsWith" dxfId="2115" priority="2787" operator="endsWith" text="x">
      <formula>RIGHT(AG300,LEN("x"))="x"</formula>
    </cfRule>
  </conditionalFormatting>
  <conditionalFormatting sqref="AG300">
    <cfRule type="endsWith" dxfId="2114" priority="2786" operator="endsWith" text="x">
      <formula>RIGHT(AG300,LEN("x"))="x"</formula>
    </cfRule>
  </conditionalFormatting>
  <conditionalFormatting sqref="AG301">
    <cfRule type="endsWith" dxfId="2113" priority="2785" operator="endsWith" text="x">
      <formula>RIGHT(AG301,LEN("x"))="x"</formula>
    </cfRule>
  </conditionalFormatting>
  <conditionalFormatting sqref="AG301">
    <cfRule type="endsWith" dxfId="2112" priority="2784" operator="endsWith" text="x">
      <formula>RIGHT(AG301,LEN("x"))="x"</formula>
    </cfRule>
  </conditionalFormatting>
  <conditionalFormatting sqref="AG302">
    <cfRule type="endsWith" dxfId="2111" priority="2783" operator="endsWith" text="x">
      <formula>RIGHT(AG302,LEN("x"))="x"</formula>
    </cfRule>
  </conditionalFormatting>
  <conditionalFormatting sqref="AG302">
    <cfRule type="endsWith" dxfId="2110" priority="2782" operator="endsWith" text="x">
      <formula>RIGHT(AG302,LEN("x"))="x"</formula>
    </cfRule>
  </conditionalFormatting>
  <conditionalFormatting sqref="AG303">
    <cfRule type="endsWith" dxfId="2109" priority="2781" operator="endsWith" text="x">
      <formula>RIGHT(AG303,LEN("x"))="x"</formula>
    </cfRule>
  </conditionalFormatting>
  <conditionalFormatting sqref="AH299:AH303">
    <cfRule type="endsWith" dxfId="2108" priority="2780" operator="endsWith" text="x">
      <formula>RIGHT(AH299,LEN("x"))="x"</formula>
    </cfRule>
  </conditionalFormatting>
  <conditionalFormatting sqref="AH300">
    <cfRule type="endsWith" dxfId="2107" priority="2779" operator="endsWith" text="x">
      <formula>RIGHT(AH300,LEN("x"))="x"</formula>
    </cfRule>
  </conditionalFormatting>
  <conditionalFormatting sqref="AH302">
    <cfRule type="endsWith" dxfId="2106" priority="2778" operator="endsWith" text="x">
      <formula>RIGHT(AH302,LEN("x"))="x"</formula>
    </cfRule>
  </conditionalFormatting>
  <conditionalFormatting sqref="AC299:AC303">
    <cfRule type="endsWith" dxfId="2105" priority="2777" operator="endsWith" text="x">
      <formula>RIGHT(AC299,LEN("x"))="x"</formula>
    </cfRule>
  </conditionalFormatting>
  <conditionalFormatting sqref="AC300">
    <cfRule type="endsWith" dxfId="2104" priority="2776" operator="endsWith" text="x">
      <formula>RIGHT(AC300,LEN("x"))="x"</formula>
    </cfRule>
  </conditionalFormatting>
  <conditionalFormatting sqref="AC301">
    <cfRule type="endsWith" dxfId="2103" priority="2775" operator="endsWith" text="x">
      <formula>RIGHT(AC301,LEN("x"))="x"</formula>
    </cfRule>
  </conditionalFormatting>
  <conditionalFormatting sqref="AC302">
    <cfRule type="endsWith" dxfId="2102" priority="2774" operator="endsWith" text="x">
      <formula>RIGHT(AC302,LEN("x"))="x"</formula>
    </cfRule>
  </conditionalFormatting>
  <conditionalFormatting sqref="AI299:AL303">
    <cfRule type="endsWith" dxfId="2101" priority="2773" operator="endsWith" text="x">
      <formula>RIGHT(AI299,LEN("x"))="x"</formula>
    </cfRule>
  </conditionalFormatting>
  <conditionalFormatting sqref="AL299">
    <cfRule type="endsWith" dxfId="2100" priority="2772" operator="endsWith" text="x">
      <formula>RIGHT(AL299,LEN("x"))="x"</formula>
    </cfRule>
  </conditionalFormatting>
  <conditionalFormatting sqref="AB299:AL303">
    <cfRule type="endsWith" dxfId="2099" priority="2771" operator="endsWith" text="x">
      <formula>RIGHT(AB299,LEN("x"))="x"</formula>
    </cfRule>
  </conditionalFormatting>
  <conditionalFormatting sqref="AD299">
    <cfRule type="endsWith" dxfId="2098" priority="2770" operator="endsWith" text="x">
      <formula>RIGHT(AD299,LEN("x"))="x"</formula>
    </cfRule>
  </conditionalFormatting>
  <conditionalFormatting sqref="AD299">
    <cfRule type="endsWith" dxfId="2097" priority="2769" operator="endsWith" text="x">
      <formula>RIGHT(AD299,LEN("x"))="x"</formula>
    </cfRule>
  </conditionalFormatting>
  <conditionalFormatting sqref="AD300">
    <cfRule type="endsWith" dxfId="2096" priority="2768" operator="endsWith" text="x">
      <formula>RIGHT(AD300,LEN("x"))="x"</formula>
    </cfRule>
  </conditionalFormatting>
  <conditionalFormatting sqref="AD300">
    <cfRule type="endsWith" dxfId="2095" priority="2767" operator="endsWith" text="x">
      <formula>RIGHT(AD300,LEN("x"))="x"</formula>
    </cfRule>
  </conditionalFormatting>
  <conditionalFormatting sqref="AD301">
    <cfRule type="endsWith" dxfId="2094" priority="2766" operator="endsWith" text="x">
      <formula>RIGHT(AD301,LEN("x"))="x"</formula>
    </cfRule>
  </conditionalFormatting>
  <conditionalFormatting sqref="AD301">
    <cfRule type="endsWith" dxfId="2093" priority="2765" operator="endsWith" text="x">
      <formula>RIGHT(AD301,LEN("x"))="x"</formula>
    </cfRule>
  </conditionalFormatting>
  <conditionalFormatting sqref="AD302">
    <cfRule type="endsWith" dxfId="2092" priority="2764" operator="endsWith" text="x">
      <formula>RIGHT(AD302,LEN("x"))="x"</formula>
    </cfRule>
  </conditionalFormatting>
  <conditionalFormatting sqref="AD302">
    <cfRule type="endsWith" dxfId="2091" priority="2763" operator="endsWith" text="x">
      <formula>RIGHT(AD302,LEN("x"))="x"</formula>
    </cfRule>
  </conditionalFormatting>
  <conditionalFormatting sqref="AD303">
    <cfRule type="endsWith" dxfId="2090" priority="2762" operator="endsWith" text="x">
      <formula>RIGHT(AD303,LEN("x"))="x"</formula>
    </cfRule>
  </conditionalFormatting>
  <conditionalFormatting sqref="AD303">
    <cfRule type="endsWith" dxfId="2089" priority="2761" operator="endsWith" text="x">
      <formula>RIGHT(AD303,LEN("x"))="x"</formula>
    </cfRule>
  </conditionalFormatting>
  <conditionalFormatting sqref="AF299">
    <cfRule type="endsWith" dxfId="2088" priority="2760" operator="endsWith" text="x">
      <formula>RIGHT(AF299,LEN("x"))="x"</formula>
    </cfRule>
  </conditionalFormatting>
  <conditionalFormatting sqref="AF299">
    <cfRule type="endsWith" dxfId="2087" priority="2759" operator="endsWith" text="x">
      <formula>RIGHT(AF299,LEN("x"))="x"</formula>
    </cfRule>
  </conditionalFormatting>
  <conditionalFormatting sqref="AF300">
    <cfRule type="endsWith" dxfId="2086" priority="2758" operator="endsWith" text="x">
      <formula>RIGHT(AF300,LEN("x"))="x"</formula>
    </cfRule>
  </conditionalFormatting>
  <conditionalFormatting sqref="AF300">
    <cfRule type="endsWith" dxfId="2085" priority="2757" operator="endsWith" text="x">
      <formula>RIGHT(AF300,LEN("x"))="x"</formula>
    </cfRule>
  </conditionalFormatting>
  <conditionalFormatting sqref="AF301">
    <cfRule type="endsWith" dxfId="2084" priority="2756" operator="endsWith" text="x">
      <formula>RIGHT(AF301,LEN("x"))="x"</formula>
    </cfRule>
  </conditionalFormatting>
  <conditionalFormatting sqref="AF301">
    <cfRule type="endsWith" dxfId="2083" priority="2755" operator="endsWith" text="x">
      <formula>RIGHT(AF301,LEN("x"))="x"</formula>
    </cfRule>
  </conditionalFormatting>
  <conditionalFormatting sqref="AF302">
    <cfRule type="endsWith" dxfId="2082" priority="2754" operator="endsWith" text="x">
      <formula>RIGHT(AF302,LEN("x"))="x"</formula>
    </cfRule>
  </conditionalFormatting>
  <conditionalFormatting sqref="AF302">
    <cfRule type="endsWith" dxfId="2081" priority="2753" operator="endsWith" text="x">
      <formula>RIGHT(AF302,LEN("x"))="x"</formula>
    </cfRule>
  </conditionalFormatting>
  <conditionalFormatting sqref="AF303">
    <cfRule type="endsWith" dxfId="2080" priority="2752" operator="endsWith" text="x">
      <formula>RIGHT(AF303,LEN("x"))="x"</formula>
    </cfRule>
  </conditionalFormatting>
  <conditionalFormatting sqref="AF303">
    <cfRule type="endsWith" dxfId="2079" priority="2751" operator="endsWith" text="x">
      <formula>RIGHT(AF303,LEN("x"))="x"</formula>
    </cfRule>
  </conditionalFormatting>
  <conditionalFormatting sqref="AE300">
    <cfRule type="endsWith" dxfId="2078" priority="2750" operator="endsWith" text="x">
      <formula>RIGHT(AE300,LEN("x"))="x"</formula>
    </cfRule>
  </conditionalFormatting>
  <conditionalFormatting sqref="AE301">
    <cfRule type="endsWith" dxfId="2077" priority="2749" operator="endsWith" text="x">
      <formula>RIGHT(AE301,LEN("x"))="x"</formula>
    </cfRule>
  </conditionalFormatting>
  <conditionalFormatting sqref="AE302">
    <cfRule type="endsWith" dxfId="2076" priority="2748" operator="endsWith" text="x">
      <formula>RIGHT(AE302,LEN("x"))="x"</formula>
    </cfRule>
  </conditionalFormatting>
  <conditionalFormatting sqref="AE302">
    <cfRule type="endsWith" dxfId="2075" priority="2747" operator="endsWith" text="x">
      <formula>RIGHT(AE302,LEN("x"))="x"</formula>
    </cfRule>
  </conditionalFormatting>
  <conditionalFormatting sqref="AE303">
    <cfRule type="endsWith" dxfId="2074" priority="2746" operator="endsWith" text="x">
      <formula>RIGHT(AE303,LEN("x"))="x"</formula>
    </cfRule>
  </conditionalFormatting>
  <conditionalFormatting sqref="AG299">
    <cfRule type="endsWith" dxfId="2073" priority="2745" operator="endsWith" text="x">
      <formula>RIGHT(AG299,LEN("x"))="x"</formula>
    </cfRule>
  </conditionalFormatting>
  <conditionalFormatting sqref="AG299">
    <cfRule type="endsWith" dxfId="2072" priority="2744" operator="endsWith" text="x">
      <formula>RIGHT(AG299,LEN("x"))="x"</formula>
    </cfRule>
  </conditionalFormatting>
  <conditionalFormatting sqref="AG300">
    <cfRule type="endsWith" dxfId="2071" priority="2743" operator="endsWith" text="x">
      <formula>RIGHT(AG300,LEN("x"))="x"</formula>
    </cfRule>
  </conditionalFormatting>
  <conditionalFormatting sqref="AG300">
    <cfRule type="endsWith" dxfId="2070" priority="2742" operator="endsWith" text="x">
      <formula>RIGHT(AG300,LEN("x"))="x"</formula>
    </cfRule>
  </conditionalFormatting>
  <conditionalFormatting sqref="AG301">
    <cfRule type="endsWith" dxfId="2069" priority="2741" operator="endsWith" text="x">
      <formula>RIGHT(AG301,LEN("x"))="x"</formula>
    </cfRule>
  </conditionalFormatting>
  <conditionalFormatting sqref="AG301">
    <cfRule type="endsWith" dxfId="2068" priority="2740" operator="endsWith" text="x">
      <formula>RIGHT(AG301,LEN("x"))="x"</formula>
    </cfRule>
  </conditionalFormatting>
  <conditionalFormatting sqref="AG302">
    <cfRule type="endsWith" dxfId="2067" priority="2739" operator="endsWith" text="x">
      <formula>RIGHT(AG302,LEN("x"))="x"</formula>
    </cfRule>
  </conditionalFormatting>
  <conditionalFormatting sqref="AG302">
    <cfRule type="endsWith" dxfId="2066" priority="2738" operator="endsWith" text="x">
      <formula>RIGHT(AG302,LEN("x"))="x"</formula>
    </cfRule>
  </conditionalFormatting>
  <conditionalFormatting sqref="AG303">
    <cfRule type="endsWith" dxfId="2065" priority="2737" operator="endsWith" text="x">
      <formula>RIGHT(AG303,LEN("x"))="x"</formula>
    </cfRule>
  </conditionalFormatting>
  <conditionalFormatting sqref="AH299:AH303">
    <cfRule type="endsWith" dxfId="2064" priority="2736" operator="endsWith" text="x">
      <formula>RIGHT(AH299,LEN("x"))="x"</formula>
    </cfRule>
  </conditionalFormatting>
  <conditionalFormatting sqref="AH300">
    <cfRule type="endsWith" dxfId="2063" priority="2735" operator="endsWith" text="x">
      <formula>RIGHT(AH300,LEN("x"))="x"</formula>
    </cfRule>
  </conditionalFormatting>
  <conditionalFormatting sqref="AH302">
    <cfRule type="endsWith" dxfId="2062" priority="2734" operator="endsWith" text="x">
      <formula>RIGHT(AH302,LEN("x"))="x"</formula>
    </cfRule>
  </conditionalFormatting>
  <conditionalFormatting sqref="AC299:AC303">
    <cfRule type="endsWith" dxfId="2061" priority="2733" operator="endsWith" text="x">
      <formula>RIGHT(AC299,LEN("x"))="x"</formula>
    </cfRule>
  </conditionalFormatting>
  <conditionalFormatting sqref="AC300">
    <cfRule type="endsWith" dxfId="2060" priority="2732" operator="endsWith" text="x">
      <formula>RIGHT(AC300,LEN("x"))="x"</formula>
    </cfRule>
  </conditionalFormatting>
  <conditionalFormatting sqref="AC301">
    <cfRule type="endsWith" dxfId="2059" priority="2731" operator="endsWith" text="x">
      <formula>RIGHT(AC301,LEN("x"))="x"</formula>
    </cfRule>
  </conditionalFormatting>
  <conditionalFormatting sqref="AC302">
    <cfRule type="endsWith" dxfId="2058" priority="2730" operator="endsWith" text="x">
      <formula>RIGHT(AC302,LEN("x"))="x"</formula>
    </cfRule>
  </conditionalFormatting>
  <conditionalFormatting sqref="AI299:AL303">
    <cfRule type="endsWith" dxfId="2057" priority="2729" operator="endsWith" text="x">
      <formula>RIGHT(AI299,LEN("x"))="x"</formula>
    </cfRule>
  </conditionalFormatting>
  <conditionalFormatting sqref="AL299">
    <cfRule type="endsWith" dxfId="2056" priority="2728" operator="endsWith" text="x">
      <formula>RIGHT(AL299,LEN("x"))="x"</formula>
    </cfRule>
  </conditionalFormatting>
  <conditionalFormatting sqref="AE299">
    <cfRule type="endsWith" dxfId="2055" priority="2727" operator="endsWith" text="x">
      <formula>RIGHT(AE299,LEN("x"))="x"</formula>
    </cfRule>
  </conditionalFormatting>
  <conditionalFormatting sqref="AB242:AL242 AB244:AL247 AB243:AD243 AF243:AL243">
    <cfRule type="endsWith" dxfId="2054" priority="2726" operator="endsWith" text="x">
      <formula>RIGHT(AB242,LEN("x"))="x"</formula>
    </cfRule>
  </conditionalFormatting>
  <conditionalFormatting sqref="AE244">
    <cfRule type="endsWith" dxfId="2053" priority="2705" operator="endsWith" text="x">
      <formula>RIGHT(AE244,LEN("x"))="x"</formula>
    </cfRule>
  </conditionalFormatting>
  <conditionalFormatting sqref="AE245">
    <cfRule type="endsWith" dxfId="2052" priority="2704" operator="endsWith" text="x">
      <formula>RIGHT(AE245,LEN("x"))="x"</formula>
    </cfRule>
  </conditionalFormatting>
  <conditionalFormatting sqref="AE246">
    <cfRule type="endsWith" dxfId="2051" priority="2703" operator="endsWith" text="x">
      <formula>RIGHT(AE246,LEN("x"))="x"</formula>
    </cfRule>
  </conditionalFormatting>
  <conditionalFormatting sqref="AE246">
    <cfRule type="endsWith" dxfId="2050" priority="2702" operator="endsWith" text="x">
      <formula>RIGHT(AE246,LEN("x"))="x"</formula>
    </cfRule>
  </conditionalFormatting>
  <conditionalFormatting sqref="AE247">
    <cfRule type="endsWith" dxfId="2049" priority="2701" operator="endsWith" text="x">
      <formula>RIGHT(AE247,LEN("x"))="x"</formula>
    </cfRule>
  </conditionalFormatting>
  <conditionalFormatting sqref="AG243">
    <cfRule type="endsWith" dxfId="2048" priority="2700" operator="endsWith" text="x">
      <formula>RIGHT(AG243,LEN("x"))="x"</formula>
    </cfRule>
  </conditionalFormatting>
  <conditionalFormatting sqref="AG243">
    <cfRule type="endsWith" dxfId="2047" priority="2699" operator="endsWith" text="x">
      <formula>RIGHT(AG243,LEN("x"))="x"</formula>
    </cfRule>
  </conditionalFormatting>
  <conditionalFormatting sqref="AG244">
    <cfRule type="endsWith" dxfId="2046" priority="2698" operator="endsWith" text="x">
      <formula>RIGHT(AG244,LEN("x"))="x"</formula>
    </cfRule>
  </conditionalFormatting>
  <conditionalFormatting sqref="AG244">
    <cfRule type="endsWith" dxfId="2045" priority="2697" operator="endsWith" text="x">
      <formula>RIGHT(AG244,LEN("x"))="x"</formula>
    </cfRule>
  </conditionalFormatting>
  <conditionalFormatting sqref="AG245">
    <cfRule type="endsWith" dxfId="2044" priority="2696" operator="endsWith" text="x">
      <formula>RIGHT(AG245,LEN("x"))="x"</formula>
    </cfRule>
  </conditionalFormatting>
  <conditionalFormatting sqref="AG245">
    <cfRule type="endsWith" dxfId="2043" priority="2695" operator="endsWith" text="x">
      <formula>RIGHT(AG245,LEN("x"))="x"</formula>
    </cfRule>
  </conditionalFormatting>
  <conditionalFormatting sqref="AG246">
    <cfRule type="endsWith" dxfId="2042" priority="2694" operator="endsWith" text="x">
      <formula>RIGHT(AG246,LEN("x"))="x"</formula>
    </cfRule>
  </conditionalFormatting>
  <conditionalFormatting sqref="AG246">
    <cfRule type="endsWith" dxfId="2041" priority="2693" operator="endsWith" text="x">
      <formula>RIGHT(AG246,LEN("x"))="x"</formula>
    </cfRule>
  </conditionalFormatting>
  <conditionalFormatting sqref="AG247">
    <cfRule type="endsWith" dxfId="2040" priority="2692" operator="endsWith" text="x">
      <formula>RIGHT(AG247,LEN("x"))="x"</formula>
    </cfRule>
  </conditionalFormatting>
  <conditionalFormatting sqref="AC243:AC247">
    <cfRule type="endsWith" dxfId="2039" priority="2688" operator="endsWith" text="x">
      <formula>RIGHT(AC243,LEN("x"))="x"</formula>
    </cfRule>
  </conditionalFormatting>
  <conditionalFormatting sqref="AC245">
    <cfRule type="endsWith" dxfId="2038" priority="2686" operator="endsWith" text="x">
      <formula>RIGHT(AC245,LEN("x"))="x"</formula>
    </cfRule>
  </conditionalFormatting>
  <conditionalFormatting sqref="AC246">
    <cfRule type="endsWith" dxfId="2037" priority="2685" operator="endsWith" text="x">
      <formula>RIGHT(AC246,LEN("x"))="x"</formula>
    </cfRule>
  </conditionalFormatting>
  <conditionalFormatting sqref="AI246:AI247">
    <cfRule type="endsWith" dxfId="2036" priority="2682" operator="endsWith" text="x">
      <formula>RIGHT(AI246,LEN("x"))="x"</formula>
    </cfRule>
  </conditionalFormatting>
  <conditionalFormatting sqref="AD243">
    <cfRule type="endsWith" dxfId="2035" priority="2725" operator="endsWith" text="x">
      <formula>RIGHT(AD243,LEN("x"))="x"</formula>
    </cfRule>
  </conditionalFormatting>
  <conditionalFormatting sqref="AD243">
    <cfRule type="endsWith" dxfId="2034" priority="2724" operator="endsWith" text="x">
      <formula>RIGHT(AD243,LEN("x"))="x"</formula>
    </cfRule>
  </conditionalFormatting>
  <conditionalFormatting sqref="AD244">
    <cfRule type="endsWith" dxfId="2033" priority="2723" operator="endsWith" text="x">
      <formula>RIGHT(AD244,LEN("x"))="x"</formula>
    </cfRule>
  </conditionalFormatting>
  <conditionalFormatting sqref="AD244">
    <cfRule type="endsWith" dxfId="2032" priority="2722" operator="endsWith" text="x">
      <formula>RIGHT(AD244,LEN("x"))="x"</formula>
    </cfRule>
  </conditionalFormatting>
  <conditionalFormatting sqref="AD245">
    <cfRule type="endsWith" dxfId="2031" priority="2721" operator="endsWith" text="x">
      <formula>RIGHT(AD245,LEN("x"))="x"</formula>
    </cfRule>
  </conditionalFormatting>
  <conditionalFormatting sqref="AD245">
    <cfRule type="endsWith" dxfId="2030" priority="2720" operator="endsWith" text="x">
      <formula>RIGHT(AD245,LEN("x"))="x"</formula>
    </cfRule>
  </conditionalFormatting>
  <conditionalFormatting sqref="AD246">
    <cfRule type="endsWith" dxfId="2029" priority="2719" operator="endsWith" text="x">
      <formula>RIGHT(AD246,LEN("x"))="x"</formula>
    </cfRule>
  </conditionalFormatting>
  <conditionalFormatting sqref="AD246">
    <cfRule type="endsWith" dxfId="2028" priority="2718" operator="endsWith" text="x">
      <formula>RIGHT(AD246,LEN("x"))="x"</formula>
    </cfRule>
  </conditionalFormatting>
  <conditionalFormatting sqref="AD247">
    <cfRule type="endsWith" dxfId="2027" priority="2717" operator="endsWith" text="x">
      <formula>RIGHT(AD247,LEN("x"))="x"</formula>
    </cfRule>
  </conditionalFormatting>
  <conditionalFormatting sqref="AD247">
    <cfRule type="endsWith" dxfId="2026" priority="2716" operator="endsWith" text="x">
      <formula>RIGHT(AD247,LEN("x"))="x"</formula>
    </cfRule>
  </conditionalFormatting>
  <conditionalFormatting sqref="AF243">
    <cfRule type="endsWith" dxfId="2025" priority="2715" operator="endsWith" text="x">
      <formula>RIGHT(AF243,LEN("x"))="x"</formula>
    </cfRule>
  </conditionalFormatting>
  <conditionalFormatting sqref="AF243">
    <cfRule type="endsWith" dxfId="2024" priority="2714" operator="endsWith" text="x">
      <formula>RIGHT(AF243,LEN("x"))="x"</formula>
    </cfRule>
  </conditionalFormatting>
  <conditionalFormatting sqref="AF244">
    <cfRule type="endsWith" dxfId="2023" priority="2713" operator="endsWith" text="x">
      <formula>RIGHT(AF244,LEN("x"))="x"</formula>
    </cfRule>
  </conditionalFormatting>
  <conditionalFormatting sqref="AF244">
    <cfRule type="endsWith" dxfId="2022" priority="2712" operator="endsWith" text="x">
      <formula>RIGHT(AF244,LEN("x"))="x"</formula>
    </cfRule>
  </conditionalFormatting>
  <conditionalFormatting sqref="AF245">
    <cfRule type="endsWith" dxfId="2021" priority="2711" operator="endsWith" text="x">
      <formula>RIGHT(AF245,LEN("x"))="x"</formula>
    </cfRule>
  </conditionalFormatting>
  <conditionalFormatting sqref="AF245">
    <cfRule type="endsWith" dxfId="2020" priority="2710" operator="endsWith" text="x">
      <formula>RIGHT(AF245,LEN("x"))="x"</formula>
    </cfRule>
  </conditionalFormatting>
  <conditionalFormatting sqref="AF246">
    <cfRule type="endsWith" dxfId="2019" priority="2709" operator="endsWith" text="x">
      <formula>RIGHT(AF246,LEN("x"))="x"</formula>
    </cfRule>
  </conditionalFormatting>
  <conditionalFormatting sqref="AF246">
    <cfRule type="endsWith" dxfId="2018" priority="2708" operator="endsWith" text="x">
      <formula>RIGHT(AF246,LEN("x"))="x"</formula>
    </cfRule>
  </conditionalFormatting>
  <conditionalFormatting sqref="AF247">
    <cfRule type="endsWith" dxfId="2017" priority="2707" operator="endsWith" text="x">
      <formula>RIGHT(AF247,LEN("x"))="x"</formula>
    </cfRule>
  </conditionalFormatting>
  <conditionalFormatting sqref="AF247">
    <cfRule type="endsWith" dxfId="2016" priority="2706" operator="endsWith" text="x">
      <formula>RIGHT(AF247,LEN("x"))="x"</formula>
    </cfRule>
  </conditionalFormatting>
  <conditionalFormatting sqref="AL243">
    <cfRule type="endsWith" dxfId="2015" priority="2683" operator="endsWith" text="x">
      <formula>RIGHT(AL243,LEN("x"))="x"</formula>
    </cfRule>
  </conditionalFormatting>
  <conditionalFormatting sqref="AH243:AH247">
    <cfRule type="endsWith" dxfId="2014" priority="2691" operator="endsWith" text="x">
      <formula>RIGHT(AH243,LEN("x"))="x"</formula>
    </cfRule>
  </conditionalFormatting>
  <conditionalFormatting sqref="AH244">
    <cfRule type="endsWith" dxfId="2013" priority="2690" operator="endsWith" text="x">
      <formula>RIGHT(AH244,LEN("x"))="x"</formula>
    </cfRule>
  </conditionalFormatting>
  <conditionalFormatting sqref="AH246">
    <cfRule type="endsWith" dxfId="2012" priority="2689" operator="endsWith" text="x">
      <formula>RIGHT(AH246,LEN("x"))="x"</formula>
    </cfRule>
  </conditionalFormatting>
  <conditionalFormatting sqref="AC244">
    <cfRule type="endsWith" dxfId="2011" priority="2687" operator="endsWith" text="x">
      <formula>RIGHT(AC244,LEN("x"))="x"</formula>
    </cfRule>
  </conditionalFormatting>
  <conditionalFormatting sqref="AI242:AL245">
    <cfRule type="endsWith" dxfId="2010" priority="2684" operator="endsWith" text="x">
      <formula>RIGHT(AI242,LEN("x"))="x"</formula>
    </cfRule>
  </conditionalFormatting>
  <conditionalFormatting sqref="AB290:AL290 AB292:AL295 AB291:AD291 AF291:AL291">
    <cfRule type="endsWith" dxfId="2009" priority="2681" operator="endsWith" text="x">
      <formula>RIGHT(AB290,LEN("x"))="x"</formula>
    </cfRule>
  </conditionalFormatting>
  <conditionalFormatting sqref="AE292">
    <cfRule type="endsWith" dxfId="2008" priority="2660" operator="endsWith" text="x">
      <formula>RIGHT(AE292,LEN("x"))="x"</formula>
    </cfRule>
  </conditionalFormatting>
  <conditionalFormatting sqref="AE293">
    <cfRule type="endsWith" dxfId="2007" priority="2659" operator="endsWith" text="x">
      <formula>RIGHT(AE293,LEN("x"))="x"</formula>
    </cfRule>
  </conditionalFormatting>
  <conditionalFormatting sqref="AE294">
    <cfRule type="endsWith" dxfId="2006" priority="2658" operator="endsWith" text="x">
      <formula>RIGHT(AE294,LEN("x"))="x"</formula>
    </cfRule>
  </conditionalFormatting>
  <conditionalFormatting sqref="AE294">
    <cfRule type="endsWith" dxfId="2005" priority="2657" operator="endsWith" text="x">
      <formula>RIGHT(AE294,LEN("x"))="x"</formula>
    </cfRule>
  </conditionalFormatting>
  <conditionalFormatting sqref="AE295">
    <cfRule type="endsWith" dxfId="2004" priority="2656" operator="endsWith" text="x">
      <formula>RIGHT(AE295,LEN("x"))="x"</formula>
    </cfRule>
  </conditionalFormatting>
  <conditionalFormatting sqref="AG291">
    <cfRule type="endsWith" dxfId="2003" priority="2655" operator="endsWith" text="x">
      <formula>RIGHT(AG291,LEN("x"))="x"</formula>
    </cfRule>
  </conditionalFormatting>
  <conditionalFormatting sqref="AG291">
    <cfRule type="endsWith" dxfId="2002" priority="2654" operator="endsWith" text="x">
      <formula>RIGHT(AG291,LEN("x"))="x"</formula>
    </cfRule>
  </conditionalFormatting>
  <conditionalFormatting sqref="AG292">
    <cfRule type="endsWith" dxfId="2001" priority="2653" operator="endsWith" text="x">
      <formula>RIGHT(AG292,LEN("x"))="x"</formula>
    </cfRule>
  </conditionalFormatting>
  <conditionalFormatting sqref="AG292">
    <cfRule type="endsWith" dxfId="2000" priority="2652" operator="endsWith" text="x">
      <formula>RIGHT(AG292,LEN("x"))="x"</formula>
    </cfRule>
  </conditionalFormatting>
  <conditionalFormatting sqref="AG293">
    <cfRule type="endsWith" dxfId="1999" priority="2651" operator="endsWith" text="x">
      <formula>RIGHT(AG293,LEN("x"))="x"</formula>
    </cfRule>
  </conditionalFormatting>
  <conditionalFormatting sqref="AG293">
    <cfRule type="endsWith" dxfId="1998" priority="2650" operator="endsWith" text="x">
      <formula>RIGHT(AG293,LEN("x"))="x"</formula>
    </cfRule>
  </conditionalFormatting>
  <conditionalFormatting sqref="AG294">
    <cfRule type="endsWith" dxfId="1997" priority="2649" operator="endsWith" text="x">
      <formula>RIGHT(AG294,LEN("x"))="x"</formula>
    </cfRule>
  </conditionalFormatting>
  <conditionalFormatting sqref="AG294">
    <cfRule type="endsWith" dxfId="1996" priority="2648" operator="endsWith" text="x">
      <formula>RIGHT(AG294,LEN("x"))="x"</formula>
    </cfRule>
  </conditionalFormatting>
  <conditionalFormatting sqref="AG295">
    <cfRule type="endsWith" dxfId="1995" priority="2647" operator="endsWith" text="x">
      <formula>RIGHT(AG295,LEN("x"))="x"</formula>
    </cfRule>
  </conditionalFormatting>
  <conditionalFormatting sqref="AC291:AC295">
    <cfRule type="endsWith" dxfId="1994" priority="2643" operator="endsWith" text="x">
      <formula>RIGHT(AC291,LEN("x"))="x"</formula>
    </cfRule>
  </conditionalFormatting>
  <conditionalFormatting sqref="AC293">
    <cfRule type="endsWith" dxfId="1993" priority="2641" operator="endsWith" text="x">
      <formula>RIGHT(AC293,LEN("x"))="x"</formula>
    </cfRule>
  </conditionalFormatting>
  <conditionalFormatting sqref="AC294">
    <cfRule type="endsWith" dxfId="1992" priority="2640" operator="endsWith" text="x">
      <formula>RIGHT(AC294,LEN("x"))="x"</formula>
    </cfRule>
  </conditionalFormatting>
  <conditionalFormatting sqref="AI294:AI295">
    <cfRule type="endsWith" dxfId="1991" priority="2637" operator="endsWith" text="x">
      <formula>RIGHT(AI294,LEN("x"))="x"</formula>
    </cfRule>
  </conditionalFormatting>
  <conditionalFormatting sqref="AD291">
    <cfRule type="endsWith" dxfId="1990" priority="2680" operator="endsWith" text="x">
      <formula>RIGHT(AD291,LEN("x"))="x"</formula>
    </cfRule>
  </conditionalFormatting>
  <conditionalFormatting sqref="AD291">
    <cfRule type="endsWith" dxfId="1989" priority="2679" operator="endsWith" text="x">
      <formula>RIGHT(AD291,LEN("x"))="x"</formula>
    </cfRule>
  </conditionalFormatting>
  <conditionalFormatting sqref="AD292">
    <cfRule type="endsWith" dxfId="1988" priority="2678" operator="endsWith" text="x">
      <formula>RIGHT(AD292,LEN("x"))="x"</formula>
    </cfRule>
  </conditionalFormatting>
  <conditionalFormatting sqref="AD292">
    <cfRule type="endsWith" dxfId="1987" priority="2677" operator="endsWith" text="x">
      <formula>RIGHT(AD292,LEN("x"))="x"</formula>
    </cfRule>
  </conditionalFormatting>
  <conditionalFormatting sqref="AD293">
    <cfRule type="endsWith" dxfId="1986" priority="2676" operator="endsWith" text="x">
      <formula>RIGHT(AD293,LEN("x"))="x"</formula>
    </cfRule>
  </conditionalFormatting>
  <conditionalFormatting sqref="AD293">
    <cfRule type="endsWith" dxfId="1985" priority="2675" operator="endsWith" text="x">
      <formula>RIGHT(AD293,LEN("x"))="x"</formula>
    </cfRule>
  </conditionalFormatting>
  <conditionalFormatting sqref="AD294">
    <cfRule type="endsWith" dxfId="1984" priority="2674" operator="endsWith" text="x">
      <formula>RIGHT(AD294,LEN("x"))="x"</formula>
    </cfRule>
  </conditionalFormatting>
  <conditionalFormatting sqref="AD294">
    <cfRule type="endsWith" dxfId="1983" priority="2673" operator="endsWith" text="x">
      <formula>RIGHT(AD294,LEN("x"))="x"</formula>
    </cfRule>
  </conditionalFormatting>
  <conditionalFormatting sqref="AD295">
    <cfRule type="endsWith" dxfId="1982" priority="2672" operator="endsWith" text="x">
      <formula>RIGHT(AD295,LEN("x"))="x"</formula>
    </cfRule>
  </conditionalFormatting>
  <conditionalFormatting sqref="AD295">
    <cfRule type="endsWith" dxfId="1981" priority="2671" operator="endsWith" text="x">
      <formula>RIGHT(AD295,LEN("x"))="x"</formula>
    </cfRule>
  </conditionalFormatting>
  <conditionalFormatting sqref="AF291">
    <cfRule type="endsWith" dxfId="1980" priority="2670" operator="endsWith" text="x">
      <formula>RIGHT(AF291,LEN("x"))="x"</formula>
    </cfRule>
  </conditionalFormatting>
  <conditionalFormatting sqref="AF291">
    <cfRule type="endsWith" dxfId="1979" priority="2669" operator="endsWith" text="x">
      <formula>RIGHT(AF291,LEN("x"))="x"</formula>
    </cfRule>
  </conditionalFormatting>
  <conditionalFormatting sqref="AF292">
    <cfRule type="endsWith" dxfId="1978" priority="2668" operator="endsWith" text="x">
      <formula>RIGHT(AF292,LEN("x"))="x"</formula>
    </cfRule>
  </conditionalFormatting>
  <conditionalFormatting sqref="AF292">
    <cfRule type="endsWith" dxfId="1977" priority="2667" operator="endsWith" text="x">
      <formula>RIGHT(AF292,LEN("x"))="x"</formula>
    </cfRule>
  </conditionalFormatting>
  <conditionalFormatting sqref="AF293">
    <cfRule type="endsWith" dxfId="1976" priority="2666" operator="endsWith" text="x">
      <formula>RIGHT(AF293,LEN("x"))="x"</formula>
    </cfRule>
  </conditionalFormatting>
  <conditionalFormatting sqref="AF293">
    <cfRule type="endsWith" dxfId="1975" priority="2665" operator="endsWith" text="x">
      <formula>RIGHT(AF293,LEN("x"))="x"</formula>
    </cfRule>
  </conditionalFormatting>
  <conditionalFormatting sqref="AF294">
    <cfRule type="endsWith" dxfId="1974" priority="2664" operator="endsWith" text="x">
      <formula>RIGHT(AF294,LEN("x"))="x"</formula>
    </cfRule>
  </conditionalFormatting>
  <conditionalFormatting sqref="AF294">
    <cfRule type="endsWith" dxfId="1973" priority="2663" operator="endsWith" text="x">
      <formula>RIGHT(AF294,LEN("x"))="x"</formula>
    </cfRule>
  </conditionalFormatting>
  <conditionalFormatting sqref="AF295">
    <cfRule type="endsWith" dxfId="1972" priority="2662" operator="endsWith" text="x">
      <formula>RIGHT(AF295,LEN("x"))="x"</formula>
    </cfRule>
  </conditionalFormatting>
  <conditionalFormatting sqref="AF295">
    <cfRule type="endsWith" dxfId="1971" priority="2661" operator="endsWith" text="x">
      <formula>RIGHT(AF295,LEN("x"))="x"</formula>
    </cfRule>
  </conditionalFormatting>
  <conditionalFormatting sqref="AL291">
    <cfRule type="endsWith" dxfId="1970" priority="2638" operator="endsWith" text="x">
      <formula>RIGHT(AL291,LEN("x"))="x"</formula>
    </cfRule>
  </conditionalFormatting>
  <conditionalFormatting sqref="AH291:AH295">
    <cfRule type="endsWith" dxfId="1969" priority="2646" operator="endsWith" text="x">
      <formula>RIGHT(AH291,LEN("x"))="x"</formula>
    </cfRule>
  </conditionalFormatting>
  <conditionalFormatting sqref="AH292">
    <cfRule type="endsWith" dxfId="1968" priority="2645" operator="endsWith" text="x">
      <formula>RIGHT(AH292,LEN("x"))="x"</formula>
    </cfRule>
  </conditionalFormatting>
  <conditionalFormatting sqref="AH294">
    <cfRule type="endsWith" dxfId="1967" priority="2644" operator="endsWith" text="x">
      <formula>RIGHT(AH294,LEN("x"))="x"</formula>
    </cfRule>
  </conditionalFormatting>
  <conditionalFormatting sqref="AC292">
    <cfRule type="endsWith" dxfId="1966" priority="2642" operator="endsWith" text="x">
      <formula>RIGHT(AC292,LEN("x"))="x"</formula>
    </cfRule>
  </conditionalFormatting>
  <conditionalFormatting sqref="AI290:AL293">
    <cfRule type="endsWith" dxfId="1965" priority="2639" operator="endsWith" text="x">
      <formula>RIGHT(AI290,LEN("x"))="x"</formula>
    </cfRule>
  </conditionalFormatting>
  <conditionalFormatting sqref="AE243">
    <cfRule type="endsWith" dxfId="1964" priority="2636" operator="endsWith" text="x">
      <formula>RIGHT(AE243,LEN("x"))="x"</formula>
    </cfRule>
  </conditionalFormatting>
  <conditionalFormatting sqref="AE190">
    <cfRule type="endsWith" dxfId="1963" priority="2635" operator="endsWith" text="x">
      <formula>RIGHT(AE190,LEN("x"))="x"</formula>
    </cfRule>
  </conditionalFormatting>
  <conditionalFormatting sqref="AE291">
    <cfRule type="endsWith" dxfId="1962" priority="2634" operator="endsWith" text="x">
      <formula>RIGHT(AE291,LEN("x"))="x"</formula>
    </cfRule>
  </conditionalFormatting>
  <conditionalFormatting sqref="AE291">
    <cfRule type="endsWith" dxfId="1961" priority="2633" operator="endsWith" text="x">
      <formula>RIGHT(AE291,LEN("x"))="x"</formula>
    </cfRule>
  </conditionalFormatting>
  <conditionalFormatting sqref="AB212:AL212 AB213:AC217 AE214:AE217 AG213:AL217">
    <cfRule type="endsWith" dxfId="1960" priority="2632" operator="endsWith" text="x">
      <formula>RIGHT(AB212,LEN("x"))="x"</formula>
    </cfRule>
  </conditionalFormatting>
  <conditionalFormatting sqref="AE214">
    <cfRule type="endsWith" dxfId="1959" priority="2631" operator="endsWith" text="x">
      <formula>RIGHT(AE214,LEN("x"))="x"</formula>
    </cfRule>
  </conditionalFormatting>
  <conditionalFormatting sqref="AE215">
    <cfRule type="endsWith" dxfId="1958" priority="2630" operator="endsWith" text="x">
      <formula>RIGHT(AE215,LEN("x"))="x"</formula>
    </cfRule>
  </conditionalFormatting>
  <conditionalFormatting sqref="AE216">
    <cfRule type="endsWith" dxfId="1957" priority="2629" operator="endsWith" text="x">
      <formula>RIGHT(AE216,LEN("x"))="x"</formula>
    </cfRule>
  </conditionalFormatting>
  <conditionalFormatting sqref="AE216">
    <cfRule type="endsWith" dxfId="1956" priority="2628" operator="endsWith" text="x">
      <formula>RIGHT(AE216,LEN("x"))="x"</formula>
    </cfRule>
  </conditionalFormatting>
  <conditionalFormatting sqref="AE217">
    <cfRule type="endsWith" dxfId="1955" priority="2627" operator="endsWith" text="x">
      <formula>RIGHT(AE217,LEN("x"))="x"</formula>
    </cfRule>
  </conditionalFormatting>
  <conditionalFormatting sqref="AG213">
    <cfRule type="endsWith" dxfId="1954" priority="2626" operator="endsWith" text="x">
      <formula>RIGHT(AG213,LEN("x"))="x"</formula>
    </cfRule>
  </conditionalFormatting>
  <conditionalFormatting sqref="AG213">
    <cfRule type="endsWith" dxfId="1953" priority="2625" operator="endsWith" text="x">
      <formula>RIGHT(AG213,LEN("x"))="x"</formula>
    </cfRule>
  </conditionalFormatting>
  <conditionalFormatting sqref="AG214">
    <cfRule type="endsWith" dxfId="1952" priority="2624" operator="endsWith" text="x">
      <formula>RIGHT(AG214,LEN("x"))="x"</formula>
    </cfRule>
  </conditionalFormatting>
  <conditionalFormatting sqref="AG214">
    <cfRule type="endsWith" dxfId="1951" priority="2623" operator="endsWith" text="x">
      <formula>RIGHT(AG214,LEN("x"))="x"</formula>
    </cfRule>
  </conditionalFormatting>
  <conditionalFormatting sqref="AG215">
    <cfRule type="endsWith" dxfId="1950" priority="2622" operator="endsWith" text="x">
      <formula>RIGHT(AG215,LEN("x"))="x"</formula>
    </cfRule>
  </conditionalFormatting>
  <conditionalFormatting sqref="AG215">
    <cfRule type="endsWith" dxfId="1949" priority="2621" operator="endsWith" text="x">
      <formula>RIGHT(AG215,LEN("x"))="x"</formula>
    </cfRule>
  </conditionalFormatting>
  <conditionalFormatting sqref="AG216">
    <cfRule type="endsWith" dxfId="1948" priority="2620" operator="endsWith" text="x">
      <formula>RIGHT(AG216,LEN("x"))="x"</formula>
    </cfRule>
  </conditionalFormatting>
  <conditionalFormatting sqref="AG216">
    <cfRule type="endsWith" dxfId="1947" priority="2619" operator="endsWith" text="x">
      <formula>RIGHT(AG216,LEN("x"))="x"</formula>
    </cfRule>
  </conditionalFormatting>
  <conditionalFormatting sqref="AG217">
    <cfRule type="endsWith" dxfId="1946" priority="2618" operator="endsWith" text="x">
      <formula>RIGHT(AG217,LEN("x"))="x"</formula>
    </cfRule>
  </conditionalFormatting>
  <conditionalFormatting sqref="AC213:AC217">
    <cfRule type="endsWith" dxfId="1945" priority="2614" operator="endsWith" text="x">
      <formula>RIGHT(AC213,LEN("x"))="x"</formula>
    </cfRule>
  </conditionalFormatting>
  <conditionalFormatting sqref="AC215">
    <cfRule type="endsWith" dxfId="1944" priority="2612" operator="endsWith" text="x">
      <formula>RIGHT(AC215,LEN("x"))="x"</formula>
    </cfRule>
  </conditionalFormatting>
  <conditionalFormatting sqref="AC216">
    <cfRule type="endsWith" dxfId="1943" priority="2611" operator="endsWith" text="x">
      <formula>RIGHT(AC216,LEN("x"))="x"</formula>
    </cfRule>
  </conditionalFormatting>
  <conditionalFormatting sqref="AI216:AI217">
    <cfRule type="endsWith" dxfId="1942" priority="2608" operator="endsWith" text="x">
      <formula>RIGHT(AI216,LEN("x"))="x"</formula>
    </cfRule>
  </conditionalFormatting>
  <conditionalFormatting sqref="AF259">
    <cfRule type="endsWith" dxfId="1941" priority="2563" operator="endsWith" text="x">
      <formula>RIGHT(AF259,LEN("x"))="x"</formula>
    </cfRule>
  </conditionalFormatting>
  <conditionalFormatting sqref="AF260">
    <cfRule type="endsWith" dxfId="1940" priority="2562" operator="endsWith" text="x">
      <formula>RIGHT(AF260,LEN("x"))="x"</formula>
    </cfRule>
  </conditionalFormatting>
  <conditionalFormatting sqref="AF261">
    <cfRule type="endsWith" dxfId="1939" priority="2561" operator="endsWith" text="x">
      <formula>RIGHT(AF261,LEN("x"))="x"</formula>
    </cfRule>
  </conditionalFormatting>
  <conditionalFormatting sqref="AF262">
    <cfRule type="endsWith" dxfId="1938" priority="2560" operator="endsWith" text="x">
      <formula>RIGHT(AF262,LEN("x"))="x"</formula>
    </cfRule>
  </conditionalFormatting>
  <conditionalFormatting sqref="AF263">
    <cfRule type="endsWith" dxfId="1937" priority="2559" operator="endsWith" text="x">
      <formula>RIGHT(AF263,LEN("x"))="x"</formula>
    </cfRule>
  </conditionalFormatting>
  <conditionalFormatting sqref="AG214">
    <cfRule type="endsWith" dxfId="1936" priority="2558" operator="endsWith" text="x">
      <formula>RIGHT(AG214,LEN("x"))="x"</formula>
    </cfRule>
  </conditionalFormatting>
  <conditionalFormatting sqref="AG214">
    <cfRule type="endsWith" dxfId="1935" priority="2557" operator="endsWith" text="x">
      <formula>RIGHT(AG214,LEN("x"))="x"</formula>
    </cfRule>
  </conditionalFormatting>
  <conditionalFormatting sqref="AL213">
    <cfRule type="endsWith" dxfId="1934" priority="2609" operator="endsWith" text="x">
      <formula>RIGHT(AL213,LEN("x"))="x"</formula>
    </cfRule>
  </conditionalFormatting>
  <conditionalFormatting sqref="AH213:AH217">
    <cfRule type="endsWith" dxfId="1933" priority="2617" operator="endsWith" text="x">
      <formula>RIGHT(AH213,LEN("x"))="x"</formula>
    </cfRule>
  </conditionalFormatting>
  <conditionalFormatting sqref="AH214">
    <cfRule type="endsWith" dxfId="1932" priority="2616" operator="endsWith" text="x">
      <formula>RIGHT(AH214,LEN("x"))="x"</formula>
    </cfRule>
  </conditionalFormatting>
  <conditionalFormatting sqref="AH216">
    <cfRule type="endsWith" dxfId="1931" priority="2615" operator="endsWith" text="x">
      <formula>RIGHT(AH216,LEN("x"))="x"</formula>
    </cfRule>
  </conditionalFormatting>
  <conditionalFormatting sqref="AC214">
    <cfRule type="endsWith" dxfId="1930" priority="2613" operator="endsWith" text="x">
      <formula>RIGHT(AC214,LEN("x"))="x"</formula>
    </cfRule>
  </conditionalFormatting>
  <conditionalFormatting sqref="AI212:AL215">
    <cfRule type="endsWith" dxfId="1929" priority="2610" operator="endsWith" text="x">
      <formula>RIGHT(AI212,LEN("x"))="x"</formula>
    </cfRule>
  </conditionalFormatting>
  <conditionalFormatting sqref="AE213">
    <cfRule type="endsWith" dxfId="1928" priority="2607" operator="endsWith" text="x">
      <formula>RIGHT(AE213,LEN("x"))="x"</formula>
    </cfRule>
  </conditionalFormatting>
  <conditionalFormatting sqref="AE213">
    <cfRule type="endsWith" dxfId="1927" priority="2606" operator="endsWith" text="x">
      <formula>RIGHT(AE213,LEN("x"))="x"</formula>
    </cfRule>
  </conditionalFormatting>
  <conditionalFormatting sqref="AD213">
    <cfRule type="endsWith" dxfId="1926" priority="2605" operator="endsWith" text="x">
      <formula>RIGHT(AD213,LEN("x"))="x"</formula>
    </cfRule>
  </conditionalFormatting>
  <conditionalFormatting sqref="AD214">
    <cfRule type="endsWith" dxfId="1925" priority="2604" operator="endsWith" text="x">
      <formula>RIGHT(AD214,LEN("x"))="x"</formula>
    </cfRule>
  </conditionalFormatting>
  <conditionalFormatting sqref="AD215">
    <cfRule type="endsWith" dxfId="1924" priority="2603" operator="endsWith" text="x">
      <formula>RIGHT(AD215,LEN("x"))="x"</formula>
    </cfRule>
  </conditionalFormatting>
  <conditionalFormatting sqref="AD216">
    <cfRule type="endsWith" dxfId="1923" priority="2602" operator="endsWith" text="x">
      <formula>RIGHT(AD216,LEN("x"))="x"</formula>
    </cfRule>
  </conditionalFormatting>
  <conditionalFormatting sqref="AD217">
    <cfRule type="endsWith" dxfId="1922" priority="2601" operator="endsWith" text="x">
      <formula>RIGHT(AD217,LEN("x"))="x"</formula>
    </cfRule>
  </conditionalFormatting>
  <conditionalFormatting sqref="AF213">
    <cfRule type="endsWith" dxfId="1921" priority="2600" operator="endsWith" text="x">
      <formula>RIGHT(AF213,LEN("x"))="x"</formula>
    </cfRule>
  </conditionalFormatting>
  <conditionalFormatting sqref="AF214">
    <cfRule type="endsWith" dxfId="1920" priority="2599" operator="endsWith" text="x">
      <formula>RIGHT(AF214,LEN("x"))="x"</formula>
    </cfRule>
  </conditionalFormatting>
  <conditionalFormatting sqref="AF215">
    <cfRule type="endsWith" dxfId="1919" priority="2598" operator="endsWith" text="x">
      <formula>RIGHT(AF215,LEN("x"))="x"</formula>
    </cfRule>
  </conditionalFormatting>
  <conditionalFormatting sqref="AF216">
    <cfRule type="endsWith" dxfId="1918" priority="2597" operator="endsWith" text="x">
      <formula>RIGHT(AF216,LEN("x"))="x"</formula>
    </cfRule>
  </conditionalFormatting>
  <conditionalFormatting sqref="AF217">
    <cfRule type="endsWith" dxfId="1917" priority="2596" operator="endsWith" text="x">
      <formula>RIGHT(AF217,LEN("x"))="x"</formula>
    </cfRule>
  </conditionalFormatting>
  <conditionalFormatting sqref="AB258:AL258 AB259:AC263 AE260:AE263 AG259:AL263">
    <cfRule type="endsWith" dxfId="1916" priority="2595" operator="endsWith" text="x">
      <formula>RIGHT(AB258,LEN("x"))="x"</formula>
    </cfRule>
  </conditionalFormatting>
  <conditionalFormatting sqref="AE260">
    <cfRule type="endsWith" dxfId="1915" priority="2594" operator="endsWith" text="x">
      <formula>RIGHT(AE260,LEN("x"))="x"</formula>
    </cfRule>
  </conditionalFormatting>
  <conditionalFormatting sqref="AE261">
    <cfRule type="endsWith" dxfId="1914" priority="2593" operator="endsWith" text="x">
      <formula>RIGHT(AE261,LEN("x"))="x"</formula>
    </cfRule>
  </conditionalFormatting>
  <conditionalFormatting sqref="AE262">
    <cfRule type="endsWith" dxfId="1913" priority="2592" operator="endsWith" text="x">
      <formula>RIGHT(AE262,LEN("x"))="x"</formula>
    </cfRule>
  </conditionalFormatting>
  <conditionalFormatting sqref="AE262">
    <cfRule type="endsWith" dxfId="1912" priority="2591" operator="endsWith" text="x">
      <formula>RIGHT(AE262,LEN("x"))="x"</formula>
    </cfRule>
  </conditionalFormatting>
  <conditionalFormatting sqref="AE263">
    <cfRule type="endsWith" dxfId="1911" priority="2590" operator="endsWith" text="x">
      <formula>RIGHT(AE263,LEN("x"))="x"</formula>
    </cfRule>
  </conditionalFormatting>
  <conditionalFormatting sqref="AG259">
    <cfRule type="endsWith" dxfId="1910" priority="2589" operator="endsWith" text="x">
      <formula>RIGHT(AG259,LEN("x"))="x"</formula>
    </cfRule>
  </conditionalFormatting>
  <conditionalFormatting sqref="AG259">
    <cfRule type="endsWith" dxfId="1909" priority="2588" operator="endsWith" text="x">
      <formula>RIGHT(AG259,LEN("x"))="x"</formula>
    </cfRule>
  </conditionalFormatting>
  <conditionalFormatting sqref="AG260">
    <cfRule type="endsWith" dxfId="1908" priority="2587" operator="endsWith" text="x">
      <formula>RIGHT(AG260,LEN("x"))="x"</formula>
    </cfRule>
  </conditionalFormatting>
  <conditionalFormatting sqref="AG260">
    <cfRule type="endsWith" dxfId="1907" priority="2586" operator="endsWith" text="x">
      <formula>RIGHT(AG260,LEN("x"))="x"</formula>
    </cfRule>
  </conditionalFormatting>
  <conditionalFormatting sqref="AG261">
    <cfRule type="endsWith" dxfId="1906" priority="2585" operator="endsWith" text="x">
      <formula>RIGHT(AG261,LEN("x"))="x"</formula>
    </cfRule>
  </conditionalFormatting>
  <conditionalFormatting sqref="AG261">
    <cfRule type="endsWith" dxfId="1905" priority="2584" operator="endsWith" text="x">
      <formula>RIGHT(AG261,LEN("x"))="x"</formula>
    </cfRule>
  </conditionalFormatting>
  <conditionalFormatting sqref="AG262">
    <cfRule type="endsWith" dxfId="1904" priority="2583" operator="endsWith" text="x">
      <formula>RIGHT(AG262,LEN("x"))="x"</formula>
    </cfRule>
  </conditionalFormatting>
  <conditionalFormatting sqref="AG262">
    <cfRule type="endsWith" dxfId="1903" priority="2582" operator="endsWith" text="x">
      <formula>RIGHT(AG262,LEN("x"))="x"</formula>
    </cfRule>
  </conditionalFormatting>
  <conditionalFormatting sqref="AG263">
    <cfRule type="endsWith" dxfId="1902" priority="2581" operator="endsWith" text="x">
      <formula>RIGHT(AG263,LEN("x"))="x"</formula>
    </cfRule>
  </conditionalFormatting>
  <conditionalFormatting sqref="AC259:AC263">
    <cfRule type="endsWith" dxfId="1901" priority="2577" operator="endsWith" text="x">
      <formula>RIGHT(AC259,LEN("x"))="x"</formula>
    </cfRule>
  </conditionalFormatting>
  <conditionalFormatting sqref="AC261">
    <cfRule type="endsWith" dxfId="1900" priority="2575" operator="endsWith" text="x">
      <formula>RIGHT(AC261,LEN("x"))="x"</formula>
    </cfRule>
  </conditionalFormatting>
  <conditionalFormatting sqref="AC262">
    <cfRule type="endsWith" dxfId="1899" priority="2574" operator="endsWith" text="x">
      <formula>RIGHT(AC262,LEN("x"))="x"</formula>
    </cfRule>
  </conditionalFormatting>
  <conditionalFormatting sqref="AI262:AI263">
    <cfRule type="endsWith" dxfId="1898" priority="2571" operator="endsWith" text="x">
      <formula>RIGHT(AI262,LEN("x"))="x"</formula>
    </cfRule>
  </conditionalFormatting>
  <conditionalFormatting sqref="AL259">
    <cfRule type="endsWith" dxfId="1897" priority="2572" operator="endsWith" text="x">
      <formula>RIGHT(AL259,LEN("x"))="x"</formula>
    </cfRule>
  </conditionalFormatting>
  <conditionalFormatting sqref="AH259:AH263">
    <cfRule type="endsWith" dxfId="1896" priority="2580" operator="endsWith" text="x">
      <formula>RIGHT(AH259,LEN("x"))="x"</formula>
    </cfRule>
  </conditionalFormatting>
  <conditionalFormatting sqref="AH260">
    <cfRule type="endsWith" dxfId="1895" priority="2579" operator="endsWith" text="x">
      <formula>RIGHT(AH260,LEN("x"))="x"</formula>
    </cfRule>
  </conditionalFormatting>
  <conditionalFormatting sqref="AH262">
    <cfRule type="endsWith" dxfId="1894" priority="2578" operator="endsWith" text="x">
      <formula>RIGHT(AH262,LEN("x"))="x"</formula>
    </cfRule>
  </conditionalFormatting>
  <conditionalFormatting sqref="AC260">
    <cfRule type="endsWith" dxfId="1893" priority="2576" operator="endsWith" text="x">
      <formula>RIGHT(AC260,LEN("x"))="x"</formula>
    </cfRule>
  </conditionalFormatting>
  <conditionalFormatting sqref="AI258:AL261">
    <cfRule type="endsWith" dxfId="1892" priority="2573" operator="endsWith" text="x">
      <formula>RIGHT(AI258,LEN("x"))="x"</formula>
    </cfRule>
  </conditionalFormatting>
  <conditionalFormatting sqref="AE259">
    <cfRule type="endsWith" dxfId="1891" priority="2570" operator="endsWith" text="x">
      <formula>RIGHT(AE259,LEN("x"))="x"</formula>
    </cfRule>
  </conditionalFormatting>
  <conditionalFormatting sqref="AE259">
    <cfRule type="endsWith" dxfId="1890" priority="2569" operator="endsWith" text="x">
      <formula>RIGHT(AE259,LEN("x"))="x"</formula>
    </cfRule>
  </conditionalFormatting>
  <conditionalFormatting sqref="AD259">
    <cfRule type="endsWith" dxfId="1889" priority="2568" operator="endsWith" text="x">
      <formula>RIGHT(AD259,LEN("x"))="x"</formula>
    </cfRule>
  </conditionalFormatting>
  <conditionalFormatting sqref="AD260">
    <cfRule type="endsWith" dxfId="1888" priority="2567" operator="endsWith" text="x">
      <formula>RIGHT(AD260,LEN("x"))="x"</formula>
    </cfRule>
  </conditionalFormatting>
  <conditionalFormatting sqref="AD261">
    <cfRule type="endsWith" dxfId="1887" priority="2566" operator="endsWith" text="x">
      <formula>RIGHT(AD261,LEN("x"))="x"</formula>
    </cfRule>
  </conditionalFormatting>
  <conditionalFormatting sqref="AD262">
    <cfRule type="endsWith" dxfId="1886" priority="2565" operator="endsWith" text="x">
      <formula>RIGHT(AD262,LEN("x"))="x"</formula>
    </cfRule>
  </conditionalFormatting>
  <conditionalFormatting sqref="AD263">
    <cfRule type="endsWith" dxfId="1885" priority="2564" operator="endsWith" text="x">
      <formula>RIGHT(AD263,LEN("x"))="x"</formula>
    </cfRule>
  </conditionalFormatting>
  <conditionalFormatting sqref="AD468">
    <cfRule type="endsWith" dxfId="1884" priority="2535" operator="endsWith" text="x">
      <formula>RIGHT(AD468,LEN("x"))="x"</formula>
    </cfRule>
  </conditionalFormatting>
  <conditionalFormatting sqref="AF468">
    <cfRule type="endsWith" dxfId="1883" priority="2536" operator="endsWith" text="x">
      <formula>RIGHT(AF468,LEN("x"))="x"</formula>
    </cfRule>
  </conditionalFormatting>
  <conditionalFormatting sqref="AD474">
    <cfRule type="endsWith" dxfId="1882" priority="2531" operator="endsWith" text="x">
      <formula>RIGHT(AD474,LEN("x"))="x"</formula>
    </cfRule>
  </conditionalFormatting>
  <conditionalFormatting sqref="AG215">
    <cfRule type="endsWith" dxfId="1881" priority="2556" operator="endsWith" text="x">
      <formula>RIGHT(AG215,LEN("x"))="x"</formula>
    </cfRule>
  </conditionalFormatting>
  <conditionalFormatting sqref="AG215">
    <cfRule type="endsWith" dxfId="1880" priority="2555" operator="endsWith" text="x">
      <formula>RIGHT(AG215,LEN("x"))="x"</formula>
    </cfRule>
  </conditionalFormatting>
  <conditionalFormatting sqref="AG216">
    <cfRule type="endsWith" dxfId="1879" priority="2554" operator="endsWith" text="x">
      <formula>RIGHT(AG216,LEN("x"))="x"</formula>
    </cfRule>
  </conditionalFormatting>
  <conditionalFormatting sqref="AG216">
    <cfRule type="endsWith" dxfId="1878" priority="2553" operator="endsWith" text="x">
      <formula>RIGHT(AG216,LEN("x"))="x"</formula>
    </cfRule>
  </conditionalFormatting>
  <conditionalFormatting sqref="AG217">
    <cfRule type="endsWith" dxfId="1877" priority="2552" operator="endsWith" text="x">
      <formula>RIGHT(AG217,LEN("x"))="x"</formula>
    </cfRule>
  </conditionalFormatting>
  <conditionalFormatting sqref="AG217">
    <cfRule type="endsWith" dxfId="1876" priority="2551" operator="endsWith" text="x">
      <formula>RIGHT(AG217,LEN("x"))="x"</formula>
    </cfRule>
  </conditionalFormatting>
  <conditionalFormatting sqref="AF474">
    <cfRule type="endsWith" dxfId="1875" priority="2532" operator="endsWith" text="x">
      <formula>RIGHT(AF474,LEN("x"))="x"</formula>
    </cfRule>
  </conditionalFormatting>
  <conditionalFormatting sqref="AB451:AL452 AB450:AC450 AE450 AG450:AL450">
    <cfRule type="endsWith" dxfId="1874" priority="2550" operator="endsWith" text="x">
      <formula>RIGHT(AB450,LEN("x"))="x"</formula>
    </cfRule>
  </conditionalFormatting>
  <conditionalFormatting sqref="AL450">
    <cfRule type="endsWith" dxfId="1873" priority="2549" operator="endsWith" text="x">
      <formula>RIGHT(AL450,LEN("x"))="x"</formula>
    </cfRule>
  </conditionalFormatting>
  <conditionalFormatting sqref="AD450">
    <cfRule type="endsWith" dxfId="1872" priority="2548" operator="endsWith" text="x">
      <formula>RIGHT(AD450,LEN("x"))="x"</formula>
    </cfRule>
  </conditionalFormatting>
  <conditionalFormatting sqref="AF450">
    <cfRule type="endsWith" dxfId="1871" priority="2547" operator="endsWith" text="x">
      <formula>RIGHT(AF450,LEN("x"))="x"</formula>
    </cfRule>
  </conditionalFormatting>
  <conditionalFormatting sqref="AB457:AL458 AB456:AC456 AE456 AG456:AL456">
    <cfRule type="endsWith" dxfId="1870" priority="2546" operator="endsWith" text="x">
      <formula>RIGHT(AB456,LEN("x"))="x"</formula>
    </cfRule>
  </conditionalFormatting>
  <conditionalFormatting sqref="AL456">
    <cfRule type="endsWith" dxfId="1869" priority="2545" operator="endsWith" text="x">
      <formula>RIGHT(AL456,LEN("x"))="x"</formula>
    </cfRule>
  </conditionalFormatting>
  <conditionalFormatting sqref="AD456">
    <cfRule type="endsWith" dxfId="1868" priority="2544" operator="endsWith" text="x">
      <formula>RIGHT(AD456,LEN("x"))="x"</formula>
    </cfRule>
  </conditionalFormatting>
  <conditionalFormatting sqref="AF456">
    <cfRule type="endsWith" dxfId="1867" priority="2543" operator="endsWith" text="x">
      <formula>RIGHT(AF456,LEN("x"))="x"</formula>
    </cfRule>
  </conditionalFormatting>
  <conditionalFormatting sqref="AB463:AL464 AB462:AC462 AE462 AG462:AL462">
    <cfRule type="endsWith" dxfId="1866" priority="2542" operator="endsWith" text="x">
      <formula>RIGHT(AB462,LEN("x"))="x"</formula>
    </cfRule>
  </conditionalFormatting>
  <conditionalFormatting sqref="AL462">
    <cfRule type="endsWith" dxfId="1865" priority="2541" operator="endsWith" text="x">
      <formula>RIGHT(AL462,LEN("x"))="x"</formula>
    </cfRule>
  </conditionalFormatting>
  <conditionalFormatting sqref="AD462">
    <cfRule type="endsWith" dxfId="1864" priority="2540" operator="endsWith" text="x">
      <formula>RIGHT(AD462,LEN("x"))="x"</formula>
    </cfRule>
  </conditionalFormatting>
  <conditionalFormatting sqref="AF462">
    <cfRule type="endsWith" dxfId="1863" priority="2539" operator="endsWith" text="x">
      <formula>RIGHT(AF462,LEN("x"))="x"</formula>
    </cfRule>
  </conditionalFormatting>
  <conditionalFormatting sqref="AB469:AL470 AB468:AC468 AE468 AG468:AL468">
    <cfRule type="endsWith" dxfId="1862" priority="2538" operator="endsWith" text="x">
      <formula>RIGHT(AB468,LEN("x"))="x"</formula>
    </cfRule>
  </conditionalFormatting>
  <conditionalFormatting sqref="AL468">
    <cfRule type="endsWith" dxfId="1861" priority="2537" operator="endsWith" text="x">
      <formula>RIGHT(AL468,LEN("x"))="x"</formula>
    </cfRule>
  </conditionalFormatting>
  <conditionalFormatting sqref="AB475:AL476 AB474:AC474 AE474 AG474:AL474">
    <cfRule type="endsWith" dxfId="1860" priority="2534" operator="endsWith" text="x">
      <formula>RIGHT(AB474,LEN("x"))="x"</formula>
    </cfRule>
  </conditionalFormatting>
  <conditionalFormatting sqref="AL474">
    <cfRule type="endsWith" dxfId="1859" priority="2533" operator="endsWith" text="x">
      <formula>RIGHT(AL474,LEN("x"))="x"</formula>
    </cfRule>
  </conditionalFormatting>
  <conditionalFormatting sqref="AB486:AL487 AB485:AC485 AE485 AG485:AL485">
    <cfRule type="endsWith" dxfId="1858" priority="2526" operator="endsWith" text="x">
      <formula>RIGHT(AB485,LEN("x"))="x"</formula>
    </cfRule>
  </conditionalFormatting>
  <conditionalFormatting sqref="AB481:AL482 AB480:AC480 AE480 AG480:AL480">
    <cfRule type="endsWith" dxfId="1857" priority="2530" operator="endsWith" text="x">
      <formula>RIGHT(AB480,LEN("x"))="x"</formula>
    </cfRule>
  </conditionalFormatting>
  <conditionalFormatting sqref="AL480">
    <cfRule type="endsWith" dxfId="1856" priority="2529" operator="endsWith" text="x">
      <formula>RIGHT(AL480,LEN("x"))="x"</formula>
    </cfRule>
  </conditionalFormatting>
  <conditionalFormatting sqref="AD480">
    <cfRule type="endsWith" dxfId="1855" priority="2528" operator="endsWith" text="x">
      <formula>RIGHT(AD480,LEN("x"))="x"</formula>
    </cfRule>
  </conditionalFormatting>
  <conditionalFormatting sqref="AF480">
    <cfRule type="endsWith" dxfId="1854" priority="2527" operator="endsWith" text="x">
      <formula>RIGHT(AF480,LEN("x"))="x"</formula>
    </cfRule>
  </conditionalFormatting>
  <conditionalFormatting sqref="AD485">
    <cfRule type="endsWith" dxfId="1853" priority="2523" operator="endsWith" text="x">
      <formula>RIGHT(AD485,LEN("x"))="x"</formula>
    </cfRule>
  </conditionalFormatting>
  <conditionalFormatting sqref="AF485">
    <cfRule type="endsWith" dxfId="1852" priority="2524" operator="endsWith" text="x">
      <formula>RIGHT(AF485,LEN("x"))="x"</formula>
    </cfRule>
  </conditionalFormatting>
  <conditionalFormatting sqref="AL485">
    <cfRule type="endsWith" dxfId="1851" priority="2525" operator="endsWith" text="x">
      <formula>RIGHT(AL485,LEN("x"))="x"</formula>
    </cfRule>
  </conditionalFormatting>
  <conditionalFormatting sqref="AC775:AC776">
    <cfRule type="endsWith" dxfId="1850" priority="2522" operator="endsWith" text="x">
      <formula>RIGHT(AC775,LEN("x"))="x"</formula>
    </cfRule>
  </conditionalFormatting>
  <conditionalFormatting sqref="AC775">
    <cfRule type="cellIs" dxfId="1849" priority="2521" operator="greaterThan">
      <formula>0</formula>
    </cfRule>
  </conditionalFormatting>
  <conditionalFormatting sqref="AB769:AC770">
    <cfRule type="endsWith" dxfId="1848" priority="2520" operator="endsWith" text="x">
      <formula>RIGHT(AB769,LEN("x"))="x"</formula>
    </cfRule>
  </conditionalFormatting>
  <conditionalFormatting sqref="AC769:AC770">
    <cfRule type="endsWith" dxfId="1847" priority="2519" operator="endsWith" text="x">
      <formula>RIGHT(AC769,LEN("x"))="x"</formula>
    </cfRule>
  </conditionalFormatting>
  <conditionalFormatting sqref="AC769">
    <cfRule type="cellIs" dxfId="1846" priority="2518" operator="greaterThan">
      <formula>0</formula>
    </cfRule>
  </conditionalFormatting>
  <conditionalFormatting sqref="AC147">
    <cfRule type="endsWith" dxfId="1845" priority="2517" operator="endsWith" text="x">
      <formula>RIGHT(AC147,LEN("x"))="x"</formula>
    </cfRule>
  </conditionalFormatting>
  <conditionalFormatting sqref="AC147">
    <cfRule type="endsWith" dxfId="1844" priority="2515" operator="endsWith" text="x">
      <formula>RIGHT(AC147,LEN("x"))="x"</formula>
    </cfRule>
  </conditionalFormatting>
  <conditionalFormatting sqref="AC147">
    <cfRule type="endsWith" dxfId="1843" priority="2516" operator="endsWith" text="x">
      <formula>RIGHT(AC147,LEN("x"))="x"</formula>
    </cfRule>
  </conditionalFormatting>
  <conditionalFormatting sqref="AB779:AL782">
    <cfRule type="endsWith" dxfId="1842" priority="2514" operator="endsWith" text="x">
      <formula>RIGHT(AB779,LEN("x"))="x"</formula>
    </cfRule>
  </conditionalFormatting>
  <conditionalFormatting sqref="AB780:AC782 AE780:AE782 AG780:AL782">
    <cfRule type="endsWith" dxfId="1841" priority="2510" operator="endsWith" text="x">
      <formula>RIGHT(AB780,LEN("x"))="x"</formula>
    </cfRule>
  </conditionalFormatting>
  <conditionalFormatting sqref="AF782">
    <cfRule type="endsWith" dxfId="1840" priority="2504" operator="endsWith" text="x">
      <formula>RIGHT(AF782,LEN("x"))="x"</formula>
    </cfRule>
  </conditionalFormatting>
  <conditionalFormatting sqref="AF781">
    <cfRule type="endsWith" dxfId="1839" priority="2505" operator="endsWith" text="x">
      <formula>RIGHT(AF781,LEN("x"))="x"</formula>
    </cfRule>
  </conditionalFormatting>
  <conditionalFormatting sqref="AD782">
    <cfRule type="endsWith" dxfId="1838" priority="2501" operator="endsWith" text="x">
      <formula>RIGHT(AD782,LEN("x"))="x"</formula>
    </cfRule>
  </conditionalFormatting>
  <conditionalFormatting sqref="AB779:AL779">
    <cfRule type="endsWith" dxfId="1837" priority="2513" operator="endsWith" text="x">
      <formula>RIGHT(AB779,LEN("x"))="x"</formula>
    </cfRule>
  </conditionalFormatting>
  <conditionalFormatting sqref="AI779:AL779">
    <cfRule type="endsWith" dxfId="1836" priority="2512" operator="endsWith" text="x">
      <formula>RIGHT(AI779,LEN("x"))="x"</formula>
    </cfRule>
  </conditionalFormatting>
  <conditionalFormatting sqref="AF779">
    <cfRule type="endsWith" dxfId="1835" priority="2511" operator="endsWith" text="x">
      <formula>RIGHT(AF779,LEN("x"))="x"</formula>
    </cfRule>
  </conditionalFormatting>
  <conditionalFormatting sqref="AD780">
    <cfRule type="endsWith" dxfId="1834" priority="2503" operator="endsWith" text="x">
      <formula>RIGHT(AD780,LEN("x"))="x"</formula>
    </cfRule>
  </conditionalFormatting>
  <conditionalFormatting sqref="AD781">
    <cfRule type="endsWith" dxfId="1833" priority="2502" operator="endsWith" text="x">
      <formula>RIGHT(AD781,LEN("x"))="x"</formula>
    </cfRule>
  </conditionalFormatting>
  <conditionalFormatting sqref="AF780">
    <cfRule type="endsWith" dxfId="1832" priority="2506" operator="endsWith" text="x">
      <formula>RIGHT(AF780,LEN("x"))="x"</formula>
    </cfRule>
  </conditionalFormatting>
  <conditionalFormatting sqref="AI780:AK780 AI781:AL782">
    <cfRule type="endsWith" dxfId="1831" priority="2509" operator="endsWith" text="x">
      <formula>RIGHT(AI780,LEN("x"))="x"</formula>
    </cfRule>
  </conditionalFormatting>
  <conditionalFormatting sqref="AL780">
    <cfRule type="endsWith" dxfId="1830" priority="2508" operator="endsWith" text="x">
      <formula>RIGHT(AL780,LEN("x"))="x"</formula>
    </cfRule>
  </conditionalFormatting>
  <conditionalFormatting sqref="AH782">
    <cfRule type="endsWith" dxfId="1829" priority="2507" operator="endsWith" text="x">
      <formula>RIGHT(AH782,LEN("x"))="x"</formula>
    </cfRule>
  </conditionalFormatting>
  <conditionalFormatting sqref="AI784">
    <cfRule type="endsWith" dxfId="1828" priority="2500" operator="endsWith" text="x">
      <formula>RIGHT(AI784,LEN("x"))="x"</formula>
    </cfRule>
  </conditionalFormatting>
  <conditionalFormatting sqref="AI784">
    <cfRule type="endsWith" dxfId="1827" priority="2499" operator="endsWith" text="x">
      <formula>RIGHT(AI784,LEN("x"))="x"</formula>
    </cfRule>
  </conditionalFormatting>
  <conditionalFormatting sqref="AI784">
    <cfRule type="endsWith" dxfId="1826" priority="2498" operator="endsWith" text="x">
      <formula>RIGHT(AI784,LEN("x"))="x"</formula>
    </cfRule>
  </conditionalFormatting>
  <conditionalFormatting sqref="AC170:AC172 AC168">
    <cfRule type="endsWith" dxfId="1825" priority="2497" operator="endsWith" text="x">
      <formula>RIGHT(AC168,LEN("x"))="x"</formula>
    </cfRule>
  </conditionalFormatting>
  <conditionalFormatting sqref="AC168 AC170:AC172">
    <cfRule type="endsWith" dxfId="1824" priority="2496" operator="endsWith" text="x">
      <formula>RIGHT(AC168,LEN("x"))="x"</formula>
    </cfRule>
  </conditionalFormatting>
  <conditionalFormatting sqref="AC171:AC172">
    <cfRule type="endsWith" dxfId="1823" priority="2495" operator="endsWith" text="x">
      <formula>RIGHT(AC171,LEN("x"))="x"</formula>
    </cfRule>
  </conditionalFormatting>
  <conditionalFormatting sqref="AC170">
    <cfRule type="endsWith" dxfId="1822" priority="2494" operator="endsWith" text="x">
      <formula>RIGHT(AC170,LEN("x"))="x"</formula>
    </cfRule>
  </conditionalFormatting>
  <conditionalFormatting sqref="AC168">
    <cfRule type="endsWith" dxfId="1821" priority="2493" operator="endsWith" text="x">
      <formula>RIGHT(AC168,LEN("x"))="x"</formula>
    </cfRule>
  </conditionalFormatting>
  <conditionalFormatting sqref="AC169">
    <cfRule type="endsWith" dxfId="1820" priority="2492" operator="endsWith" text="x">
      <formula>RIGHT(AC169,LEN("x"))="x"</formula>
    </cfRule>
  </conditionalFormatting>
  <conditionalFormatting sqref="AC169">
    <cfRule type="endsWith" dxfId="1819" priority="2490" operator="endsWith" text="x">
      <formula>RIGHT(AC169,LEN("x"))="x"</formula>
    </cfRule>
  </conditionalFormatting>
  <conditionalFormatting sqref="AC169">
    <cfRule type="endsWith" dxfId="1818" priority="2491" operator="endsWith" text="x">
      <formula>RIGHT(AC169,LEN("x"))="x"</formula>
    </cfRule>
  </conditionalFormatting>
  <conditionalFormatting sqref="AC184:AC186 AC182">
    <cfRule type="endsWith" dxfId="1817" priority="2489" operator="endsWith" text="x">
      <formula>RIGHT(AC182,LEN("x"))="x"</formula>
    </cfRule>
  </conditionalFormatting>
  <conditionalFormatting sqref="AC182 AC184:AC186">
    <cfRule type="endsWith" dxfId="1816" priority="2488" operator="endsWith" text="x">
      <formula>RIGHT(AC182,LEN("x"))="x"</formula>
    </cfRule>
  </conditionalFormatting>
  <conditionalFormatting sqref="AC185:AC186">
    <cfRule type="endsWith" dxfId="1815" priority="2487" operator="endsWith" text="x">
      <formula>RIGHT(AC185,LEN("x"))="x"</formula>
    </cfRule>
  </conditionalFormatting>
  <conditionalFormatting sqref="AC184">
    <cfRule type="endsWith" dxfId="1814" priority="2486" operator="endsWith" text="x">
      <formula>RIGHT(AC184,LEN("x"))="x"</formula>
    </cfRule>
  </conditionalFormatting>
  <conditionalFormatting sqref="AC182">
    <cfRule type="endsWith" dxfId="1813" priority="2485" operator="endsWith" text="x">
      <formula>RIGHT(AC182,LEN("x"))="x"</formula>
    </cfRule>
  </conditionalFormatting>
  <conditionalFormatting sqref="AC183">
    <cfRule type="endsWith" dxfId="1812" priority="2484" operator="endsWith" text="x">
      <formula>RIGHT(AC183,LEN("x"))="x"</formula>
    </cfRule>
  </conditionalFormatting>
  <conditionalFormatting sqref="AC183">
    <cfRule type="endsWith" dxfId="1811" priority="2482" operator="endsWith" text="x">
      <formula>RIGHT(AC183,LEN("x"))="x"</formula>
    </cfRule>
  </conditionalFormatting>
  <conditionalFormatting sqref="AC183">
    <cfRule type="endsWith" dxfId="1810" priority="2483" operator="endsWith" text="x">
      <formula>RIGHT(AC183,LEN("x"))="x"</formula>
    </cfRule>
  </conditionalFormatting>
  <conditionalFormatting sqref="AC198:AC200 AC196">
    <cfRule type="endsWith" dxfId="1809" priority="2481" operator="endsWith" text="x">
      <formula>RIGHT(AC196,LEN("x"))="x"</formula>
    </cfRule>
  </conditionalFormatting>
  <conditionalFormatting sqref="AC196 AC198:AC200">
    <cfRule type="endsWith" dxfId="1808" priority="2480" operator="endsWith" text="x">
      <formula>RIGHT(AC196,LEN("x"))="x"</formula>
    </cfRule>
  </conditionalFormatting>
  <conditionalFormatting sqref="AC199:AC200">
    <cfRule type="endsWith" dxfId="1807" priority="2479" operator="endsWith" text="x">
      <formula>RIGHT(AC199,LEN("x"))="x"</formula>
    </cfRule>
  </conditionalFormatting>
  <conditionalFormatting sqref="AC198">
    <cfRule type="endsWith" dxfId="1806" priority="2478" operator="endsWith" text="x">
      <formula>RIGHT(AC198,LEN("x"))="x"</formula>
    </cfRule>
  </conditionalFormatting>
  <conditionalFormatting sqref="AC196">
    <cfRule type="endsWith" dxfId="1805" priority="2477" operator="endsWith" text="x">
      <formula>RIGHT(AC196,LEN("x"))="x"</formula>
    </cfRule>
  </conditionalFormatting>
  <conditionalFormatting sqref="AC197">
    <cfRule type="endsWith" dxfId="1804" priority="2476" operator="endsWith" text="x">
      <formula>RIGHT(AC197,LEN("x"))="x"</formula>
    </cfRule>
  </conditionalFormatting>
  <conditionalFormatting sqref="AC197">
    <cfRule type="endsWith" dxfId="1803" priority="2474" operator="endsWith" text="x">
      <formula>RIGHT(AC197,LEN("x"))="x"</formula>
    </cfRule>
  </conditionalFormatting>
  <conditionalFormatting sqref="AC197">
    <cfRule type="endsWith" dxfId="1802" priority="2475" operator="endsWith" text="x">
      <formula>RIGHT(AC197,LEN("x"))="x"</formula>
    </cfRule>
  </conditionalFormatting>
  <conditionalFormatting sqref="AC229:AC231 AC227">
    <cfRule type="endsWith" dxfId="1801" priority="2473" operator="endsWith" text="x">
      <formula>RIGHT(AC227,LEN("x"))="x"</formula>
    </cfRule>
  </conditionalFormatting>
  <conditionalFormatting sqref="AC227 AC229:AC231">
    <cfRule type="endsWith" dxfId="1800" priority="2472" operator="endsWith" text="x">
      <formula>RIGHT(AC227,LEN("x"))="x"</formula>
    </cfRule>
  </conditionalFormatting>
  <conditionalFormatting sqref="AC230:AC231">
    <cfRule type="endsWith" dxfId="1799" priority="2471" operator="endsWith" text="x">
      <formula>RIGHT(AC230,LEN("x"))="x"</formula>
    </cfRule>
  </conditionalFormatting>
  <conditionalFormatting sqref="AC229">
    <cfRule type="endsWith" dxfId="1798" priority="2470" operator="endsWith" text="x">
      <formula>RIGHT(AC229,LEN("x"))="x"</formula>
    </cfRule>
  </conditionalFormatting>
  <conditionalFormatting sqref="AC227">
    <cfRule type="endsWith" dxfId="1797" priority="2469" operator="endsWith" text="x">
      <formula>RIGHT(AC227,LEN("x"))="x"</formula>
    </cfRule>
  </conditionalFormatting>
  <conditionalFormatting sqref="AC228">
    <cfRule type="endsWith" dxfId="1796" priority="2468" operator="endsWith" text="x">
      <formula>RIGHT(AC228,LEN("x"))="x"</formula>
    </cfRule>
  </conditionalFormatting>
  <conditionalFormatting sqref="AC228">
    <cfRule type="endsWith" dxfId="1795" priority="2466" operator="endsWith" text="x">
      <formula>RIGHT(AC228,LEN("x"))="x"</formula>
    </cfRule>
  </conditionalFormatting>
  <conditionalFormatting sqref="AC228">
    <cfRule type="endsWith" dxfId="1794" priority="2467" operator="endsWith" text="x">
      <formula>RIGHT(AC228,LEN("x"))="x"</formula>
    </cfRule>
  </conditionalFormatting>
  <conditionalFormatting sqref="AC419:AC421 AC417">
    <cfRule type="endsWith" dxfId="1793" priority="2465" operator="endsWith" text="x">
      <formula>RIGHT(AC417,LEN("x"))="x"</formula>
    </cfRule>
  </conditionalFormatting>
  <conditionalFormatting sqref="AC417 AC419:AC421">
    <cfRule type="endsWith" dxfId="1792" priority="2464" operator="endsWith" text="x">
      <formula>RIGHT(AC417,LEN("x"))="x"</formula>
    </cfRule>
  </conditionalFormatting>
  <conditionalFormatting sqref="AC420:AC421">
    <cfRule type="endsWith" dxfId="1791" priority="2463" operator="endsWith" text="x">
      <formula>RIGHT(AC420,LEN("x"))="x"</formula>
    </cfRule>
  </conditionalFormatting>
  <conditionalFormatting sqref="AC419">
    <cfRule type="endsWith" dxfId="1790" priority="2462" operator="endsWith" text="x">
      <formula>RIGHT(AC419,LEN("x"))="x"</formula>
    </cfRule>
  </conditionalFormatting>
  <conditionalFormatting sqref="AC417">
    <cfRule type="endsWith" dxfId="1789" priority="2461" operator="endsWith" text="x">
      <formula>RIGHT(AC417,LEN("x"))="x"</formula>
    </cfRule>
  </conditionalFormatting>
  <conditionalFormatting sqref="AC418">
    <cfRule type="endsWith" dxfId="1788" priority="2460" operator="endsWith" text="x">
      <formula>RIGHT(AC418,LEN("x"))="x"</formula>
    </cfRule>
  </conditionalFormatting>
  <conditionalFormatting sqref="AC418">
    <cfRule type="endsWith" dxfId="1787" priority="2458" operator="endsWith" text="x">
      <formula>RIGHT(AC418,LEN("x"))="x"</formula>
    </cfRule>
  </conditionalFormatting>
  <conditionalFormatting sqref="AC418">
    <cfRule type="endsWith" dxfId="1786" priority="2459" operator="endsWith" text="x">
      <formula>RIGHT(AC418,LEN("x"))="x"</formula>
    </cfRule>
  </conditionalFormatting>
  <conditionalFormatting sqref="AC443:AC445 AC441">
    <cfRule type="endsWith" dxfId="1785" priority="2457" operator="endsWith" text="x">
      <formula>RIGHT(AC441,LEN("x"))="x"</formula>
    </cfRule>
  </conditionalFormatting>
  <conditionalFormatting sqref="AC441 AC443:AC445">
    <cfRule type="endsWith" dxfId="1784" priority="2456" operator="endsWith" text="x">
      <formula>RIGHT(AC441,LEN("x"))="x"</formula>
    </cfRule>
  </conditionalFormatting>
  <conditionalFormatting sqref="AC444:AC445">
    <cfRule type="endsWith" dxfId="1783" priority="2455" operator="endsWith" text="x">
      <formula>RIGHT(AC444,LEN("x"))="x"</formula>
    </cfRule>
  </conditionalFormatting>
  <conditionalFormatting sqref="AC443">
    <cfRule type="endsWith" dxfId="1782" priority="2454" operator="endsWith" text="x">
      <formula>RIGHT(AC443,LEN("x"))="x"</formula>
    </cfRule>
  </conditionalFormatting>
  <conditionalFormatting sqref="AC441">
    <cfRule type="endsWith" dxfId="1781" priority="2453" operator="endsWith" text="x">
      <formula>RIGHT(AC441,LEN("x"))="x"</formula>
    </cfRule>
  </conditionalFormatting>
  <conditionalFormatting sqref="AC442">
    <cfRule type="endsWith" dxfId="1780" priority="2452" operator="endsWith" text="x">
      <formula>RIGHT(AC442,LEN("x"))="x"</formula>
    </cfRule>
  </conditionalFormatting>
  <conditionalFormatting sqref="AC442">
    <cfRule type="endsWith" dxfId="1779" priority="2450" operator="endsWith" text="x">
      <formula>RIGHT(AC442,LEN("x"))="x"</formula>
    </cfRule>
  </conditionalFormatting>
  <conditionalFormatting sqref="AC442">
    <cfRule type="endsWith" dxfId="1778" priority="2451" operator="endsWith" text="x">
      <formula>RIGHT(AC442,LEN("x"))="x"</formula>
    </cfRule>
  </conditionalFormatting>
  <conditionalFormatting sqref="AC588:AC590 AC586">
    <cfRule type="endsWith" dxfId="1777" priority="2449" operator="endsWith" text="x">
      <formula>RIGHT(AC586,LEN("x"))="x"</formula>
    </cfRule>
  </conditionalFormatting>
  <conditionalFormatting sqref="AC586 AC588:AC590">
    <cfRule type="endsWith" dxfId="1776" priority="2448" operator="endsWith" text="x">
      <formula>RIGHT(AC586,LEN("x"))="x"</formula>
    </cfRule>
  </conditionalFormatting>
  <conditionalFormatting sqref="AC589:AC590">
    <cfRule type="endsWith" dxfId="1775" priority="2447" operator="endsWith" text="x">
      <formula>RIGHT(AC589,LEN("x"))="x"</formula>
    </cfRule>
  </conditionalFormatting>
  <conditionalFormatting sqref="AC588">
    <cfRule type="endsWith" dxfId="1774" priority="2446" operator="endsWith" text="x">
      <formula>RIGHT(AC588,LEN("x"))="x"</formula>
    </cfRule>
  </conditionalFormatting>
  <conditionalFormatting sqref="AC586">
    <cfRule type="endsWith" dxfId="1773" priority="2445" operator="endsWith" text="x">
      <formula>RIGHT(AC586,LEN("x"))="x"</formula>
    </cfRule>
  </conditionalFormatting>
  <conditionalFormatting sqref="AC587">
    <cfRule type="endsWith" dxfId="1772" priority="2444" operator="endsWith" text="x">
      <formula>RIGHT(AC587,LEN("x"))="x"</formula>
    </cfRule>
  </conditionalFormatting>
  <conditionalFormatting sqref="AC587">
    <cfRule type="endsWith" dxfId="1771" priority="2442" operator="endsWith" text="x">
      <formula>RIGHT(AC587,LEN("x"))="x"</formula>
    </cfRule>
  </conditionalFormatting>
  <conditionalFormatting sqref="AC587">
    <cfRule type="endsWith" dxfId="1770" priority="2443" operator="endsWith" text="x">
      <formula>RIGHT(AC587,LEN("x"))="x"</formula>
    </cfRule>
  </conditionalFormatting>
  <conditionalFormatting sqref="AC596:AC598 AC594">
    <cfRule type="endsWith" dxfId="1769" priority="2441" operator="endsWith" text="x">
      <formula>RIGHT(AC594,LEN("x"))="x"</formula>
    </cfRule>
  </conditionalFormatting>
  <conditionalFormatting sqref="AC594 AC596:AC598">
    <cfRule type="endsWith" dxfId="1768" priority="2440" operator="endsWith" text="x">
      <formula>RIGHT(AC594,LEN("x"))="x"</formula>
    </cfRule>
  </conditionalFormatting>
  <conditionalFormatting sqref="AC597:AC598">
    <cfRule type="endsWith" dxfId="1767" priority="2439" operator="endsWith" text="x">
      <formula>RIGHT(AC597,LEN("x"))="x"</formula>
    </cfRule>
  </conditionalFormatting>
  <conditionalFormatting sqref="AC596">
    <cfRule type="endsWith" dxfId="1766" priority="2438" operator="endsWith" text="x">
      <formula>RIGHT(AC596,LEN("x"))="x"</formula>
    </cfRule>
  </conditionalFormatting>
  <conditionalFormatting sqref="AC594">
    <cfRule type="endsWith" dxfId="1765" priority="2437" operator="endsWith" text="x">
      <formula>RIGHT(AC594,LEN("x"))="x"</formula>
    </cfRule>
  </conditionalFormatting>
  <conditionalFormatting sqref="AC595">
    <cfRule type="endsWith" dxfId="1764" priority="2436" operator="endsWith" text="x">
      <formula>RIGHT(AC595,LEN("x"))="x"</formula>
    </cfRule>
  </conditionalFormatting>
  <conditionalFormatting sqref="AC595">
    <cfRule type="endsWith" dxfId="1763" priority="2434" operator="endsWith" text="x">
      <formula>RIGHT(AC595,LEN("x"))="x"</formula>
    </cfRule>
  </conditionalFormatting>
  <conditionalFormatting sqref="AC595">
    <cfRule type="endsWith" dxfId="1762" priority="2435" operator="endsWith" text="x">
      <formula>RIGHT(AC595,LEN("x"))="x"</formula>
    </cfRule>
  </conditionalFormatting>
  <conditionalFormatting sqref="AC605:AC607 AC602:AC603">
    <cfRule type="endsWith" dxfId="1761" priority="2433" operator="endsWith" text="x">
      <formula>RIGHT(AC602,LEN("x"))="x"</formula>
    </cfRule>
  </conditionalFormatting>
  <conditionalFormatting sqref="AC602:AC603 AC605:AC607">
    <cfRule type="endsWith" dxfId="1760" priority="2432" operator="endsWith" text="x">
      <formula>RIGHT(AC602,LEN("x"))="x"</formula>
    </cfRule>
  </conditionalFormatting>
  <conditionalFormatting sqref="AC606:AC607">
    <cfRule type="endsWith" dxfId="1759" priority="2431" operator="endsWith" text="x">
      <formula>RIGHT(AC606,LEN("x"))="x"</formula>
    </cfRule>
  </conditionalFormatting>
  <conditionalFormatting sqref="AC605">
    <cfRule type="endsWith" dxfId="1758" priority="2430" operator="endsWith" text="x">
      <formula>RIGHT(AC605,LEN("x"))="x"</formula>
    </cfRule>
  </conditionalFormatting>
  <conditionalFormatting sqref="AC602:AC603">
    <cfRule type="endsWith" dxfId="1757" priority="2429" operator="endsWith" text="x">
      <formula>RIGHT(AC602,LEN("x"))="x"</formula>
    </cfRule>
  </conditionalFormatting>
  <conditionalFormatting sqref="AC604">
    <cfRule type="endsWith" dxfId="1756" priority="2428" operator="endsWith" text="x">
      <formula>RIGHT(AC604,LEN("x"))="x"</formula>
    </cfRule>
  </conditionalFormatting>
  <conditionalFormatting sqref="AC604">
    <cfRule type="endsWith" dxfId="1755" priority="2426" operator="endsWith" text="x">
      <formula>RIGHT(AC604,LEN("x"))="x"</formula>
    </cfRule>
  </conditionalFormatting>
  <conditionalFormatting sqref="AC604">
    <cfRule type="endsWith" dxfId="1754" priority="2427" operator="endsWith" text="x">
      <formula>RIGHT(AC604,LEN("x"))="x"</formula>
    </cfRule>
  </conditionalFormatting>
  <conditionalFormatting sqref="AC613:AC615 AC611">
    <cfRule type="endsWith" dxfId="1753" priority="2425" operator="endsWith" text="x">
      <formula>RIGHT(AC611,LEN("x"))="x"</formula>
    </cfRule>
  </conditionalFormatting>
  <conditionalFormatting sqref="AC611 AC613:AC615">
    <cfRule type="endsWith" dxfId="1752" priority="2424" operator="endsWith" text="x">
      <formula>RIGHT(AC611,LEN("x"))="x"</formula>
    </cfRule>
  </conditionalFormatting>
  <conditionalFormatting sqref="AC614:AC615">
    <cfRule type="endsWith" dxfId="1751" priority="2423" operator="endsWith" text="x">
      <formula>RIGHT(AC614,LEN("x"))="x"</formula>
    </cfRule>
  </conditionalFormatting>
  <conditionalFormatting sqref="AC613">
    <cfRule type="endsWith" dxfId="1750" priority="2422" operator="endsWith" text="x">
      <formula>RIGHT(AC613,LEN("x"))="x"</formula>
    </cfRule>
  </conditionalFormatting>
  <conditionalFormatting sqref="AC611">
    <cfRule type="endsWith" dxfId="1749" priority="2421" operator="endsWith" text="x">
      <formula>RIGHT(AC611,LEN("x"))="x"</formula>
    </cfRule>
  </conditionalFormatting>
  <conditionalFormatting sqref="AC612">
    <cfRule type="endsWith" dxfId="1748" priority="2420" operator="endsWith" text="x">
      <formula>RIGHT(AC612,LEN("x"))="x"</formula>
    </cfRule>
  </conditionalFormatting>
  <conditionalFormatting sqref="AC612">
    <cfRule type="endsWith" dxfId="1747" priority="2418" operator="endsWith" text="x">
      <formula>RIGHT(AC612,LEN("x"))="x"</formula>
    </cfRule>
  </conditionalFormatting>
  <conditionalFormatting sqref="AC612">
    <cfRule type="endsWith" dxfId="1746" priority="2419" operator="endsWith" text="x">
      <formula>RIGHT(AC612,LEN("x"))="x"</formula>
    </cfRule>
  </conditionalFormatting>
  <conditionalFormatting sqref="AC621:AC623 AC619">
    <cfRule type="endsWith" dxfId="1745" priority="2417" operator="endsWith" text="x">
      <formula>RIGHT(AC619,LEN("x"))="x"</formula>
    </cfRule>
  </conditionalFormatting>
  <conditionalFormatting sqref="AC619 AC621:AC623">
    <cfRule type="endsWith" dxfId="1744" priority="2416" operator="endsWith" text="x">
      <formula>RIGHT(AC619,LEN("x"))="x"</formula>
    </cfRule>
  </conditionalFormatting>
  <conditionalFormatting sqref="AC622:AC623">
    <cfRule type="endsWith" dxfId="1743" priority="2415" operator="endsWith" text="x">
      <formula>RIGHT(AC622,LEN("x"))="x"</formula>
    </cfRule>
  </conditionalFormatting>
  <conditionalFormatting sqref="AC621">
    <cfRule type="endsWith" dxfId="1742" priority="2414" operator="endsWith" text="x">
      <formula>RIGHT(AC621,LEN("x"))="x"</formula>
    </cfRule>
  </conditionalFormatting>
  <conditionalFormatting sqref="AC619">
    <cfRule type="endsWith" dxfId="1741" priority="2413" operator="endsWith" text="x">
      <formula>RIGHT(AC619,LEN("x"))="x"</formula>
    </cfRule>
  </conditionalFormatting>
  <conditionalFormatting sqref="AC620">
    <cfRule type="endsWith" dxfId="1740" priority="2412" operator="endsWith" text="x">
      <formula>RIGHT(AC620,LEN("x"))="x"</formula>
    </cfRule>
  </conditionalFormatting>
  <conditionalFormatting sqref="AC620">
    <cfRule type="endsWith" dxfId="1739" priority="2410" operator="endsWith" text="x">
      <formula>RIGHT(AC620,LEN("x"))="x"</formula>
    </cfRule>
  </conditionalFormatting>
  <conditionalFormatting sqref="AC620">
    <cfRule type="endsWith" dxfId="1738" priority="2411" operator="endsWith" text="x">
      <formula>RIGHT(AC620,LEN("x"))="x"</formula>
    </cfRule>
  </conditionalFormatting>
  <conditionalFormatting sqref="B47 B49:B51">
    <cfRule type="endsWith" dxfId="1737" priority="2341" operator="endsWith" text="x">
      <formula>RIGHT(B47,LEN("x"))="x"</formula>
    </cfRule>
  </conditionalFormatting>
  <conditionalFormatting sqref="B50:B51">
    <cfRule type="endsWith" dxfId="1736" priority="2340" operator="endsWith" text="x">
      <formula>RIGHT(B50,LEN("x"))="x"</formula>
    </cfRule>
  </conditionalFormatting>
  <conditionalFormatting sqref="E47">
    <cfRule type="endsWith" dxfId="1735" priority="2344" operator="endsWith" text="x">
      <formula>RIGHT(E47,LEN("x"))="x"</formula>
    </cfRule>
  </conditionalFormatting>
  <conditionalFormatting sqref="B49:B51 B47">
    <cfRule type="endsWith" dxfId="1734" priority="2342" operator="endsWith" text="x">
      <formula>RIGHT(B47,LEN("x"))="x"</formula>
    </cfRule>
  </conditionalFormatting>
  <conditionalFormatting sqref="B49">
    <cfRule type="endsWith" dxfId="1733" priority="2339" operator="endsWith" text="x">
      <formula>RIGHT(B49,LEN("x"))="x"</formula>
    </cfRule>
  </conditionalFormatting>
  <conditionalFormatting sqref="B47">
    <cfRule type="endsWith" dxfId="1732" priority="2338" operator="endsWith" text="x">
      <formula>RIGHT(B47,LEN("x"))="x"</formula>
    </cfRule>
  </conditionalFormatting>
  <conditionalFormatting sqref="G49 G47 G51">
    <cfRule type="endsWith" dxfId="1731" priority="2365" operator="endsWith" text="x">
      <formula>RIGHT(G47,LEN("x"))="x"</formula>
    </cfRule>
  </conditionalFormatting>
  <conditionalFormatting sqref="G51">
    <cfRule type="endsWith" dxfId="1730" priority="2364" operator="endsWith" text="x">
      <formula>RIGHT(G51,LEN("x"))="x"</formula>
    </cfRule>
  </conditionalFormatting>
  <conditionalFormatting sqref="G49 G47">
    <cfRule type="endsWith" dxfId="1729" priority="2363" operator="endsWith" text="x">
      <formula>RIGHT(G47,LEN("x"))="x"</formula>
    </cfRule>
  </conditionalFormatting>
  <conditionalFormatting sqref="G48">
    <cfRule type="endsWith" dxfId="1728" priority="2362" operator="endsWith" text="x">
      <formula>RIGHT(G48,LEN("x"))="x"</formula>
    </cfRule>
  </conditionalFormatting>
  <conditionalFormatting sqref="G48">
    <cfRule type="endsWith" dxfId="1727" priority="2361" operator="endsWith" text="x">
      <formula>RIGHT(G48,LEN("x"))="x"</formula>
    </cfRule>
  </conditionalFormatting>
  <conditionalFormatting sqref="G50">
    <cfRule type="endsWith" dxfId="1726" priority="2360" operator="endsWith" text="x">
      <formula>RIGHT(G50,LEN("x"))="x"</formula>
    </cfRule>
  </conditionalFormatting>
  <conditionalFormatting sqref="G50">
    <cfRule type="endsWith" dxfId="1725" priority="2359" operator="endsWith" text="x">
      <formula>RIGHT(G50,LEN("x"))="x"</formula>
    </cfRule>
  </conditionalFormatting>
  <conditionalFormatting sqref="A47:A51 C47:K51">
    <cfRule type="endsWith" dxfId="1724" priority="2373" operator="endsWith" text="x">
      <formula>RIGHT(A47,LEN("x"))="x"</formula>
    </cfRule>
  </conditionalFormatting>
  <conditionalFormatting sqref="A47:A51">
    <cfRule type="endsWith" dxfId="1723" priority="2372" operator="endsWith" text="x">
      <formula>RIGHT(A47,LEN("x"))="x"</formula>
    </cfRule>
  </conditionalFormatting>
  <conditionalFormatting sqref="A50:A51">
    <cfRule type="endsWith" dxfId="1722" priority="2371" operator="endsWith" text="x">
      <formula>RIGHT(A50,LEN("x"))="x"</formula>
    </cfRule>
  </conditionalFormatting>
  <conditionalFormatting sqref="A47:A49">
    <cfRule type="endsWith" dxfId="1721" priority="2370" operator="endsWith" text="x">
      <formula>RIGHT(A47,LEN("x"))="x"</formula>
    </cfRule>
  </conditionalFormatting>
  <conditionalFormatting sqref="D47">
    <cfRule type="endsWith" dxfId="1720" priority="2369" operator="endsWith" text="x">
      <formula>RIGHT(D47,LEN("x"))="x"</formula>
    </cfRule>
  </conditionalFormatting>
  <conditionalFormatting sqref="D47">
    <cfRule type="endsWith" dxfId="1719" priority="2368" operator="endsWith" text="x">
      <formula>RIGHT(D47,LEN("x"))="x"</formula>
    </cfRule>
  </conditionalFormatting>
  <conditionalFormatting sqref="F47">
    <cfRule type="endsWith" dxfId="1718" priority="2367" operator="endsWith" text="x">
      <formula>RIGHT(F47,LEN("x"))="x"</formula>
    </cfRule>
  </conditionalFormatting>
  <conditionalFormatting sqref="F47">
    <cfRule type="endsWith" dxfId="1717" priority="2366" operator="endsWith" text="x">
      <formula>RIGHT(F47,LEN("x"))="x"</formula>
    </cfRule>
  </conditionalFormatting>
  <conditionalFormatting sqref="H47">
    <cfRule type="endsWith" dxfId="1716" priority="2358" operator="endsWith" text="x">
      <formula>RIGHT(H47,LEN("x"))="x"</formula>
    </cfRule>
  </conditionalFormatting>
  <conditionalFormatting sqref="C47">
    <cfRule type="endsWith" dxfId="1715" priority="2348" operator="endsWith" text="x">
      <formula>RIGHT(C47,LEN("x"))="x"</formula>
    </cfRule>
  </conditionalFormatting>
  <conditionalFormatting sqref="B48">
    <cfRule type="endsWith" dxfId="1714" priority="2337" operator="endsWith" text="x">
      <formula>RIGHT(B48,LEN("x"))="x"</formula>
    </cfRule>
  </conditionalFormatting>
  <conditionalFormatting sqref="B48">
    <cfRule type="endsWith" dxfId="1713" priority="2335" operator="endsWith" text="x">
      <formula>RIGHT(B48,LEN("x"))="x"</formula>
    </cfRule>
  </conditionalFormatting>
  <conditionalFormatting sqref="B48">
    <cfRule type="endsWith" dxfId="1712" priority="2336" operator="endsWith" text="x">
      <formula>RIGHT(B48,LEN("x"))="x"</formula>
    </cfRule>
  </conditionalFormatting>
  <conditionalFormatting sqref="A58:K59">
    <cfRule type="endsWith" dxfId="1711" priority="2334" operator="endsWith" text="x">
      <formula>RIGHT(A58,LEN("x"))="x"</formula>
    </cfRule>
  </conditionalFormatting>
  <conditionalFormatting sqref="H58">
    <cfRule type="endsWith" dxfId="1710" priority="2333" operator="endsWith" text="x">
      <formula>RIGHT(H58,LEN("x"))="x"</formula>
    </cfRule>
  </conditionalFormatting>
  <conditionalFormatting sqref="H59">
    <cfRule type="endsWith" dxfId="1709" priority="2332" operator="endsWith" text="x">
      <formula>RIGHT(H59,LEN("x"))="x"</formula>
    </cfRule>
  </conditionalFormatting>
  <conditionalFormatting sqref="H59">
    <cfRule type="endsWith" dxfId="1708" priority="2331" operator="endsWith" text="x">
      <formula>RIGHT(H59,LEN("x"))="x"</formula>
    </cfRule>
  </conditionalFormatting>
  <conditionalFormatting sqref="I59:J59">
    <cfRule type="endsWith" dxfId="1707" priority="2324" operator="endsWith" text="x">
      <formula>RIGHT(I59,LEN("x"))="x"</formula>
    </cfRule>
  </conditionalFormatting>
  <conditionalFormatting sqref="I59:J59">
    <cfRule type="endsWith" dxfId="1706" priority="2325" operator="endsWith" text="x">
      <formula>RIGHT(I59,LEN("x"))="x"</formula>
    </cfRule>
  </conditionalFormatting>
  <conditionalFormatting sqref="A58:K59">
    <cfRule type="endsWith" dxfId="1705" priority="2323" operator="endsWith" text="x">
      <formula>RIGHT(A58,LEN("x"))="x"</formula>
    </cfRule>
  </conditionalFormatting>
  <conditionalFormatting sqref="A71:E72 G71:K72">
    <cfRule type="endsWith" dxfId="1704" priority="2322" operator="endsWith" text="x">
      <formula>RIGHT(A71,LEN("x"))="x"</formula>
    </cfRule>
  </conditionalFormatting>
  <conditionalFormatting sqref="J71:K72 H71:H72">
    <cfRule type="endsWith" dxfId="1703" priority="2321" operator="endsWith" text="x">
      <formula>RIGHT(H71,LEN("x"))="x"</formula>
    </cfRule>
  </conditionalFormatting>
  <conditionalFormatting sqref="H71">
    <cfRule type="endsWith" dxfId="1702" priority="2319" operator="endsWith" text="x">
      <formula>RIGHT(H71,LEN("x"))="x"</formula>
    </cfRule>
  </conditionalFormatting>
  <conditionalFormatting sqref="H72">
    <cfRule type="endsWith" dxfId="1701" priority="2318" operator="endsWith" text="x">
      <formula>RIGHT(H72,LEN("x"))="x"</formula>
    </cfRule>
  </conditionalFormatting>
  <conditionalFormatting sqref="H72">
    <cfRule type="endsWith" dxfId="1700" priority="2317" operator="endsWith" text="x">
      <formula>RIGHT(H72,LEN("x"))="x"</formula>
    </cfRule>
  </conditionalFormatting>
  <conditionalFormatting sqref="A71">
    <cfRule type="endsWith" dxfId="1699" priority="2312" operator="endsWith" text="x">
      <formula>RIGHT(A71,LEN("x"))="x"</formula>
    </cfRule>
  </conditionalFormatting>
  <conditionalFormatting sqref="A72">
    <cfRule type="endsWith" dxfId="1698" priority="2311" operator="endsWith" text="x">
      <formula>RIGHT(A72,LEN("x"))="x"</formula>
    </cfRule>
  </conditionalFormatting>
  <conditionalFormatting sqref="G71">
    <cfRule type="endsWith" dxfId="1697" priority="2304" operator="endsWith" text="x">
      <formula>RIGHT(G71,LEN("x"))="x"</formula>
    </cfRule>
  </conditionalFormatting>
  <conditionalFormatting sqref="G71">
    <cfRule type="endsWith" dxfId="1696" priority="2303" operator="endsWith" text="x">
      <formula>RIGHT(G71,LEN("x"))="x"</formula>
    </cfRule>
  </conditionalFormatting>
  <conditionalFormatting sqref="G72">
    <cfRule type="endsWith" dxfId="1695" priority="2302" operator="endsWith" text="x">
      <formula>RIGHT(G72,LEN("x"))="x"</formula>
    </cfRule>
  </conditionalFormatting>
  <conditionalFormatting sqref="G72">
    <cfRule type="endsWith" dxfId="1694" priority="2301" operator="endsWith" text="x">
      <formula>RIGHT(G72,LEN("x"))="x"</formula>
    </cfRule>
  </conditionalFormatting>
  <conditionalFormatting sqref="A23">
    <cfRule type="expression" dxfId="1693" priority="8854">
      <formula>I88="x"</formula>
    </cfRule>
  </conditionalFormatting>
  <conditionalFormatting sqref="B23">
    <cfRule type="expression" dxfId="1692" priority="8855">
      <formula>I88="x"</formula>
    </cfRule>
  </conditionalFormatting>
  <conditionalFormatting sqref="C23">
    <cfRule type="expression" dxfId="1691" priority="8867">
      <formula>I88="x"</formula>
    </cfRule>
  </conditionalFormatting>
  <conditionalFormatting sqref="D23">
    <cfRule type="expression" dxfId="1690" priority="8868">
      <formula>I88="x"</formula>
    </cfRule>
  </conditionalFormatting>
  <conditionalFormatting sqref="E23">
    <cfRule type="expression" dxfId="1689" priority="8869">
      <formula>I88="x"</formula>
    </cfRule>
  </conditionalFormatting>
  <conditionalFormatting sqref="F73">
    <cfRule type="endsWith" dxfId="1688" priority="2297" operator="endsWith" text="x">
      <formula>RIGHT(F73,LEN("x"))="x"</formula>
    </cfRule>
  </conditionalFormatting>
  <conditionalFormatting sqref="F73">
    <cfRule type="endsWith" dxfId="1687" priority="2296" operator="endsWith" text="x">
      <formula>RIGHT(F73,LEN("x"))="x"</formula>
    </cfRule>
  </conditionalFormatting>
  <conditionalFormatting sqref="F74">
    <cfRule type="endsWith" dxfId="1686" priority="2293" operator="endsWith" text="x">
      <formula>RIGHT(F74,LEN("x"))="x"</formula>
    </cfRule>
  </conditionalFormatting>
  <conditionalFormatting sqref="F74">
    <cfRule type="endsWith" dxfId="1685" priority="2292" operator="endsWith" text="x">
      <formula>RIGHT(F74,LEN("x"))="x"</formula>
    </cfRule>
  </conditionalFormatting>
  <conditionalFormatting sqref="F75">
    <cfRule type="endsWith" dxfId="1684" priority="2291" operator="endsWith" text="x">
      <formula>RIGHT(F75,LEN("x"))="x"</formula>
    </cfRule>
  </conditionalFormatting>
  <conditionalFormatting sqref="F75">
    <cfRule type="endsWith" dxfId="1683" priority="2290" operator="endsWith" text="x">
      <formula>RIGHT(F75,LEN("x"))="x"</formula>
    </cfRule>
  </conditionalFormatting>
  <conditionalFormatting sqref="C823:E827">
    <cfRule type="endsWith" dxfId="1682" priority="2289" operator="endsWith" text="x">
      <formula>RIGHT(C823,LEN("x"))="x"</formula>
    </cfRule>
  </conditionalFormatting>
  <conditionalFormatting sqref="A36:K36">
    <cfRule type="endsWith" dxfId="1681" priority="2288" operator="endsWith" text="x">
      <formula>RIGHT(A36,LEN("x"))="x"</formula>
    </cfRule>
  </conditionalFormatting>
  <conditionalFormatting sqref="A36:K36">
    <cfRule type="endsWith" dxfId="1680" priority="2287" operator="endsWith" text="x">
      <formula>RIGHT(A36,LEN("x"))="x"</formula>
    </cfRule>
  </conditionalFormatting>
  <conditionalFormatting sqref="E36">
    <cfRule type="endsWith" dxfId="1679" priority="2285" operator="endsWith" text="x">
      <formula>RIGHT(E36,LEN("x"))="x"</formula>
    </cfRule>
  </conditionalFormatting>
  <conditionalFormatting sqref="H36:K36">
    <cfRule type="endsWith" dxfId="1678" priority="2286" operator="endsWith" text="x">
      <formula>RIGHT(H36,LEN("x"))="x"</formula>
    </cfRule>
  </conditionalFormatting>
  <conditionalFormatting sqref="A54:K57">
    <cfRule type="endsWith" dxfId="1677" priority="2267" operator="endsWith" text="x">
      <formula>RIGHT(A54,LEN("x"))="x"</formula>
    </cfRule>
  </conditionalFormatting>
  <conditionalFormatting sqref="A54:K54">
    <cfRule type="endsWith" dxfId="1676" priority="2266" operator="endsWith" text="x">
      <formula>RIGHT(A54,LEN("x"))="x"</formula>
    </cfRule>
  </conditionalFormatting>
  <conditionalFormatting sqref="A55:B55 D55:D57 F55:K57 B56:B57">
    <cfRule type="endsWith" dxfId="1675" priority="2263" operator="endsWith" text="x">
      <formula>RIGHT(A55,LEN("x"))="x"</formula>
    </cfRule>
  </conditionalFormatting>
  <conditionalFormatting sqref="E54">
    <cfRule type="endsWith" dxfId="1674" priority="2264" operator="endsWith" text="x">
      <formula>RIGHT(E54,LEN("x"))="x"</formula>
    </cfRule>
  </conditionalFormatting>
  <conditionalFormatting sqref="K55">
    <cfRule type="endsWith" dxfId="1673" priority="2261" operator="endsWith" text="x">
      <formula>RIGHT(K55,LEN("x"))="x"</formula>
    </cfRule>
  </conditionalFormatting>
  <conditionalFormatting sqref="H55:J55 H56:K57">
    <cfRule type="endsWith" dxfId="1672" priority="2262" operator="endsWith" text="x">
      <formula>RIGHT(H55,LEN("x"))="x"</formula>
    </cfRule>
  </conditionalFormatting>
  <conditionalFormatting sqref="H54:K54">
    <cfRule type="endsWith" dxfId="1671" priority="2265" operator="endsWith" text="x">
      <formula>RIGHT(H54,LEN("x"))="x"</formula>
    </cfRule>
  </conditionalFormatting>
  <conditionalFormatting sqref="G57">
    <cfRule type="endsWith" dxfId="1670" priority="2260" operator="endsWith" text="x">
      <formula>RIGHT(G57,LEN("x"))="x"</formula>
    </cfRule>
  </conditionalFormatting>
  <conditionalFormatting sqref="A56:A57">
    <cfRule type="endsWith" dxfId="1669" priority="2259" operator="endsWith" text="x">
      <formula>RIGHT(A56,LEN("x"))="x"</formula>
    </cfRule>
  </conditionalFormatting>
  <conditionalFormatting sqref="C55">
    <cfRule type="endsWith" dxfId="1668" priority="2258" operator="endsWith" text="x">
      <formula>RIGHT(C55,LEN("x"))="x"</formula>
    </cfRule>
  </conditionalFormatting>
  <conditionalFormatting sqref="C55">
    <cfRule type="endsWith" dxfId="1667" priority="2257" operator="endsWith" text="x">
      <formula>RIGHT(C55,LEN("x"))="x"</formula>
    </cfRule>
  </conditionalFormatting>
  <conditionalFormatting sqref="C56">
    <cfRule type="endsWith" dxfId="1666" priority="2256" operator="endsWith" text="x">
      <formula>RIGHT(C56,LEN("x"))="x"</formula>
    </cfRule>
  </conditionalFormatting>
  <conditionalFormatting sqref="C56">
    <cfRule type="endsWith" dxfId="1665" priority="2255" operator="endsWith" text="x">
      <formula>RIGHT(C56,LEN("x"))="x"</formula>
    </cfRule>
  </conditionalFormatting>
  <conditionalFormatting sqref="C57">
    <cfRule type="endsWith" dxfId="1664" priority="2254" operator="endsWith" text="x">
      <formula>RIGHT(C57,LEN("x"))="x"</formula>
    </cfRule>
  </conditionalFormatting>
  <conditionalFormatting sqref="C57">
    <cfRule type="endsWith" dxfId="1663" priority="2253" operator="endsWith" text="x">
      <formula>RIGHT(C57,LEN("x"))="x"</formula>
    </cfRule>
  </conditionalFormatting>
  <conditionalFormatting sqref="E55">
    <cfRule type="endsWith" dxfId="1662" priority="2252" operator="endsWith" text="x">
      <formula>RIGHT(E55,LEN("x"))="x"</formula>
    </cfRule>
  </conditionalFormatting>
  <conditionalFormatting sqref="E55">
    <cfRule type="endsWith" dxfId="1661" priority="2251" operator="endsWith" text="x">
      <formula>RIGHT(E55,LEN("x"))="x"</formula>
    </cfRule>
  </conditionalFormatting>
  <conditionalFormatting sqref="E56">
    <cfRule type="endsWith" dxfId="1660" priority="2250" operator="endsWith" text="x">
      <formula>RIGHT(E56,LEN("x"))="x"</formula>
    </cfRule>
  </conditionalFormatting>
  <conditionalFormatting sqref="E56">
    <cfRule type="endsWith" dxfId="1659" priority="2249" operator="endsWith" text="x">
      <formula>RIGHT(E56,LEN("x"))="x"</formula>
    </cfRule>
  </conditionalFormatting>
  <conditionalFormatting sqref="E57">
    <cfRule type="endsWith" dxfId="1658" priority="2248" operator="endsWith" text="x">
      <formula>RIGHT(E57,LEN("x"))="x"</formula>
    </cfRule>
  </conditionalFormatting>
  <conditionalFormatting sqref="E57">
    <cfRule type="endsWith" dxfId="1657" priority="2247" operator="endsWith" text="x">
      <formula>RIGHT(E57,LEN("x"))="x"</formula>
    </cfRule>
  </conditionalFormatting>
  <conditionalFormatting sqref="A60:K70">
    <cfRule type="endsWith" dxfId="1656" priority="2246" operator="endsWith" text="x">
      <formula>RIGHT(A60,LEN("x"))="x"</formula>
    </cfRule>
  </conditionalFormatting>
  <conditionalFormatting sqref="A60:K70">
    <cfRule type="endsWith" dxfId="1655" priority="2245" operator="endsWith" text="x">
      <formula>RIGHT(A60,LEN("x"))="x"</formula>
    </cfRule>
  </conditionalFormatting>
  <conditionalFormatting sqref="H61:J61 H62:K63 H60:K60">
    <cfRule type="endsWith" dxfId="1654" priority="2238" operator="endsWith" text="x">
      <formula>RIGHT(H60,LEN("x"))="x"</formula>
    </cfRule>
  </conditionalFormatting>
  <conditionalFormatting sqref="A66:K70 K64:K65 A64:I65">
    <cfRule type="endsWith" dxfId="1653" priority="2244" operator="endsWith" text="x">
      <formula>RIGHT(A64,LEN("x"))="x"</formula>
    </cfRule>
  </conditionalFormatting>
  <conditionalFormatting sqref="A60:D60 A62:G63 A61 C61:G61 F60:G60">
    <cfRule type="endsWith" dxfId="1652" priority="2243" operator="endsWith" text="x">
      <formula>RIGHT(A60,LEN("x"))="x"</formula>
    </cfRule>
  </conditionalFormatting>
  <conditionalFormatting sqref="H64">
    <cfRule type="endsWith" dxfId="1651" priority="2242" operator="endsWith" text="x">
      <formula>RIGHT(H64,LEN("x"))="x"</formula>
    </cfRule>
  </conditionalFormatting>
  <conditionalFormatting sqref="H65">
    <cfRule type="endsWith" dxfId="1650" priority="2241" operator="endsWith" text="x">
      <formula>RIGHT(H65,LEN("x"))="x"</formula>
    </cfRule>
  </conditionalFormatting>
  <conditionalFormatting sqref="H65">
    <cfRule type="endsWith" dxfId="1649" priority="2240" operator="endsWith" text="x">
      <formula>RIGHT(H65,LEN("x"))="x"</formula>
    </cfRule>
  </conditionalFormatting>
  <conditionalFormatting sqref="H62:K63">
    <cfRule type="endsWith" dxfId="1648" priority="2239" operator="endsWith" text="x">
      <formula>RIGHT(H62,LEN("x"))="x"</formula>
    </cfRule>
  </conditionalFormatting>
  <conditionalFormatting sqref="K61">
    <cfRule type="endsWith" dxfId="1647" priority="2237" operator="endsWith" text="x">
      <formula>RIGHT(K61,LEN("x"))="x"</formula>
    </cfRule>
  </conditionalFormatting>
  <conditionalFormatting sqref="B61">
    <cfRule type="endsWith" dxfId="1646" priority="2236" operator="endsWith" text="x">
      <formula>RIGHT(B61,LEN("x"))="x"</formula>
    </cfRule>
  </conditionalFormatting>
  <conditionalFormatting sqref="I64">
    <cfRule type="endsWith" dxfId="1645" priority="2235" operator="endsWith" text="x">
      <formula>RIGHT(I64,LEN("x"))="x"</formula>
    </cfRule>
  </conditionalFormatting>
  <conditionalFormatting sqref="I65">
    <cfRule type="endsWith" dxfId="1644" priority="2234" operator="endsWith" text="x">
      <formula>RIGHT(I65,LEN("x"))="x"</formula>
    </cfRule>
  </conditionalFormatting>
  <conditionalFormatting sqref="I65">
    <cfRule type="endsWith" dxfId="1643" priority="2233" operator="endsWith" text="x">
      <formula>RIGHT(I65,LEN("x"))="x"</formula>
    </cfRule>
  </conditionalFormatting>
  <conditionalFormatting sqref="E60">
    <cfRule type="endsWith" dxfId="1642" priority="2232" operator="endsWith" text="x">
      <formula>RIGHT(E60,LEN("x"))="x"</formula>
    </cfRule>
  </conditionalFormatting>
  <conditionalFormatting sqref="C306">
    <cfRule type="endsWith" dxfId="1641" priority="2229" operator="endsWith" text="x">
      <formula>RIGHT(C306,LEN("x"))="x"</formula>
    </cfRule>
  </conditionalFormatting>
  <conditionalFormatting sqref="C306">
    <cfRule type="endsWith" dxfId="1640" priority="2228" operator="endsWith" text="x">
      <formula>RIGHT(C306,LEN("x"))="x"</formula>
    </cfRule>
  </conditionalFormatting>
  <conditionalFormatting sqref="C307">
    <cfRule type="endsWith" dxfId="1639" priority="2227" operator="endsWith" text="x">
      <formula>RIGHT(C307,LEN("x"))="x"</formula>
    </cfRule>
  </conditionalFormatting>
  <conditionalFormatting sqref="C307">
    <cfRule type="endsWith" dxfId="1638" priority="2226" operator="endsWith" text="x">
      <formula>RIGHT(C307,LEN("x"))="x"</formula>
    </cfRule>
  </conditionalFormatting>
  <conditionalFormatting sqref="C308">
    <cfRule type="endsWith" dxfId="1637" priority="2225" operator="endsWith" text="x">
      <formula>RIGHT(C308,LEN("x"))="x"</formula>
    </cfRule>
  </conditionalFormatting>
  <conditionalFormatting sqref="C308">
    <cfRule type="endsWith" dxfId="1636" priority="2224" operator="endsWith" text="x">
      <formula>RIGHT(C308,LEN("x"))="x"</formula>
    </cfRule>
  </conditionalFormatting>
  <conditionalFormatting sqref="C309">
    <cfRule type="endsWith" dxfId="1635" priority="2223" operator="endsWith" text="x">
      <formula>RIGHT(C309,LEN("x"))="x"</formula>
    </cfRule>
  </conditionalFormatting>
  <conditionalFormatting sqref="C309">
    <cfRule type="endsWith" dxfId="1634" priority="2222" operator="endsWith" text="x">
      <formula>RIGHT(C309,LEN("x"))="x"</formula>
    </cfRule>
  </conditionalFormatting>
  <conditionalFormatting sqref="C306">
    <cfRule type="endsWith" dxfId="1633" priority="2221" operator="endsWith" text="x">
      <formula>RIGHT(C306,LEN("x"))="x"</formula>
    </cfRule>
  </conditionalFormatting>
  <conditionalFormatting sqref="C306">
    <cfRule type="endsWith" dxfId="1632" priority="2220" operator="endsWith" text="x">
      <formula>RIGHT(C306,LEN("x"))="x"</formula>
    </cfRule>
  </conditionalFormatting>
  <conditionalFormatting sqref="C305">
    <cfRule type="endsWith" dxfId="1631" priority="2219" operator="endsWith" text="x">
      <formula>RIGHT(C305,LEN("x"))="x"</formula>
    </cfRule>
  </conditionalFormatting>
  <conditionalFormatting sqref="C309">
    <cfRule type="endsWith" dxfId="1630" priority="2218" operator="endsWith" text="x">
      <formula>RIGHT(C309,LEN("x"))="x"</formula>
    </cfRule>
  </conditionalFormatting>
  <conditionalFormatting sqref="B19">
    <cfRule type="expression" dxfId="1629" priority="8896">
      <formula>I82="x"</formula>
    </cfRule>
    <cfRule type="expression" dxfId="1628" priority="8897">
      <formula>I80="x"</formula>
    </cfRule>
  </conditionalFormatting>
  <conditionalFormatting sqref="A21">
    <cfRule type="expression" dxfId="1627" priority="8898">
      <formula>I85="x"</formula>
    </cfRule>
  </conditionalFormatting>
  <conditionalFormatting sqref="B21">
    <cfRule type="expression" dxfId="1626" priority="8899">
      <formula>I85="x"</formula>
    </cfRule>
  </conditionalFormatting>
  <conditionalFormatting sqref="A19">
    <cfRule type="expression" dxfId="1625" priority="8902">
      <formula>I82="x"</formula>
    </cfRule>
    <cfRule type="expression" dxfId="1624" priority="8903">
      <formula>I80="x"</formula>
    </cfRule>
    <cfRule type="expression" dxfId="1623" priority="8904">
      <formula>I80=”x”</formula>
    </cfRule>
  </conditionalFormatting>
  <conditionalFormatting sqref="C19">
    <cfRule type="expression" dxfId="1622" priority="8905">
      <formula>I82="x"</formula>
    </cfRule>
    <cfRule type="expression" dxfId="1621" priority="8906">
      <formula>I80="x"</formula>
    </cfRule>
  </conditionalFormatting>
  <conditionalFormatting sqref="D19">
    <cfRule type="expression" dxfId="1620" priority="8907">
      <formula>I82="x"</formula>
    </cfRule>
    <cfRule type="expression" dxfId="1619" priority="8908">
      <formula>I80="x"</formula>
    </cfRule>
  </conditionalFormatting>
  <conditionalFormatting sqref="E19">
    <cfRule type="expression" dxfId="1618" priority="8909">
      <formula>I82="x"</formula>
    </cfRule>
    <cfRule type="expression" dxfId="1617" priority="8910">
      <formula>I80="x"</formula>
    </cfRule>
  </conditionalFormatting>
  <conditionalFormatting sqref="C21">
    <cfRule type="expression" dxfId="1616" priority="8911">
      <formula>I85="x"</formula>
    </cfRule>
  </conditionalFormatting>
  <conditionalFormatting sqref="D21">
    <cfRule type="expression" dxfId="1615" priority="8912">
      <formula>I85="x"</formula>
    </cfRule>
  </conditionalFormatting>
  <conditionalFormatting sqref="E21">
    <cfRule type="expression" dxfId="1614" priority="8913">
      <formula>I85="x"</formula>
    </cfRule>
  </conditionalFormatting>
  <conditionalFormatting sqref="M35">
    <cfRule type="expression" dxfId="1613" priority="8917">
      <formula>I83="x"</formula>
    </cfRule>
    <cfRule type="expression" dxfId="1612" priority="8918">
      <formula>C77="x"</formula>
    </cfRule>
  </conditionalFormatting>
  <conditionalFormatting sqref="A22">
    <cfRule type="expression" dxfId="1611" priority="8919">
      <formula>H103&lt;0</formula>
    </cfRule>
    <cfRule type="expression" dxfId="1610" priority="8920">
      <formula>H105&lt;0</formula>
    </cfRule>
    <cfRule type="expression" dxfId="1609" priority="8921">
      <formula>I87="x"</formula>
    </cfRule>
    <cfRule type="expression" dxfId="1608" priority="8922">
      <formula>I79="x"</formula>
    </cfRule>
  </conditionalFormatting>
  <conditionalFormatting sqref="B22">
    <cfRule type="expression" dxfId="1607" priority="8923">
      <formula>H103&lt;0</formula>
    </cfRule>
    <cfRule type="expression" dxfId="1606" priority="8924">
      <formula>H105&lt;0</formula>
    </cfRule>
    <cfRule type="expression" dxfId="1605" priority="8925">
      <formula>I87="x"</formula>
    </cfRule>
    <cfRule type="expression" dxfId="1604" priority="8926">
      <formula>I79="x"</formula>
    </cfRule>
  </conditionalFormatting>
  <conditionalFormatting sqref="C22">
    <cfRule type="expression" dxfId="1603" priority="8927">
      <formula>H103&lt;0</formula>
    </cfRule>
    <cfRule type="expression" dxfId="1602" priority="8928">
      <formula>H105&lt;0</formula>
    </cfRule>
    <cfRule type="expression" dxfId="1601" priority="8929">
      <formula>I87="x"</formula>
    </cfRule>
    <cfRule type="expression" dxfId="1600" priority="8930">
      <formula>I87="x"</formula>
    </cfRule>
    <cfRule type="expression" dxfId="1599" priority="8931">
      <formula>I79="x"</formula>
    </cfRule>
  </conditionalFormatting>
  <conditionalFormatting sqref="D22">
    <cfRule type="expression" dxfId="1598" priority="8932">
      <formula>H103&lt;0</formula>
    </cfRule>
    <cfRule type="expression" dxfId="1597" priority="8933">
      <formula>H105&lt;0</formula>
    </cfRule>
    <cfRule type="expression" dxfId="1596" priority="8934">
      <formula>I87="x"</formula>
    </cfRule>
    <cfRule type="expression" dxfId="1595" priority="8935">
      <formula>I79="x"</formula>
    </cfRule>
  </conditionalFormatting>
  <conditionalFormatting sqref="E22">
    <cfRule type="expression" dxfId="1594" priority="8936">
      <formula>H103&lt;0</formula>
    </cfRule>
    <cfRule type="expression" dxfId="1593" priority="8937">
      <formula>H105&lt;0</formula>
    </cfRule>
    <cfRule type="expression" dxfId="1592" priority="8938">
      <formula>I87="x"</formula>
    </cfRule>
    <cfRule type="expression" dxfId="1591" priority="8939">
      <formula>I79="x"</formula>
    </cfRule>
  </conditionalFormatting>
  <conditionalFormatting sqref="B127">
    <cfRule type="endsWith" dxfId="1590" priority="2216" operator="endsWith" text="x">
      <formula>RIGHT(B127,LEN("x"))="x"</formula>
    </cfRule>
  </conditionalFormatting>
  <conditionalFormatting sqref="B128">
    <cfRule type="endsWith" dxfId="1589" priority="2215" operator="endsWith" text="x">
      <formula>RIGHT(B128,LEN("x"))="x"</formula>
    </cfRule>
  </conditionalFormatting>
  <conditionalFormatting sqref="B129">
    <cfRule type="endsWith" dxfId="1588" priority="2214" operator="endsWith" text="x">
      <formula>RIGHT(B129,LEN("x"))="x"</formula>
    </cfRule>
  </conditionalFormatting>
  <conditionalFormatting sqref="B126">
    <cfRule type="endsWith" dxfId="1587" priority="2213" operator="endsWith" text="x">
      <formula>RIGHT(B126,LEN("x"))="x"</formula>
    </cfRule>
  </conditionalFormatting>
  <conditionalFormatting sqref="C124:C125">
    <cfRule type="endsWith" dxfId="1586" priority="2212" operator="endsWith" text="x">
      <formula>RIGHT(C124,LEN("x"))="x"</formula>
    </cfRule>
  </conditionalFormatting>
  <conditionalFormatting sqref="C127">
    <cfRule type="endsWith" dxfId="1585" priority="2197" operator="endsWith" text="x">
      <formula>RIGHT(C127,LEN("x"))="x"</formula>
    </cfRule>
  </conditionalFormatting>
  <conditionalFormatting sqref="C126">
    <cfRule type="endsWith" dxfId="1584" priority="2198" operator="endsWith" text="x">
      <formula>RIGHT(C126,LEN("x"))="x"</formula>
    </cfRule>
  </conditionalFormatting>
  <conditionalFormatting sqref="C131">
    <cfRule type="endsWith" dxfId="1583" priority="2205" operator="endsWith" text="x">
      <formula>RIGHT(C131,LEN("x"))="x"</formula>
    </cfRule>
  </conditionalFormatting>
  <conditionalFormatting sqref="C132">
    <cfRule type="endsWith" dxfId="1582" priority="2204" operator="endsWith" text="x">
      <formula>RIGHT(C132,LEN("x"))="x"</formula>
    </cfRule>
  </conditionalFormatting>
  <conditionalFormatting sqref="C129">
    <cfRule type="endsWith" dxfId="1581" priority="2195" operator="endsWith" text="x">
      <formula>RIGHT(C129,LEN("x"))="x"</formula>
    </cfRule>
  </conditionalFormatting>
  <conditionalFormatting sqref="C128">
    <cfRule type="endsWith" dxfId="1580" priority="2196" operator="endsWith" text="x">
      <formula>RIGHT(C128,LEN("x"))="x"</formula>
    </cfRule>
  </conditionalFormatting>
  <conditionalFormatting sqref="D124:D129">
    <cfRule type="endsWith" dxfId="1579" priority="2194" operator="endsWith" text="x">
      <formula>RIGHT(D124,LEN("x"))="x"</formula>
    </cfRule>
  </conditionalFormatting>
  <conditionalFormatting sqref="A131:A133 A136">
    <cfRule type="endsWith" dxfId="1578" priority="2189" operator="endsWith" text="x">
      <formula>RIGHT(A131,LEN("x"))="x"</formula>
    </cfRule>
  </conditionalFormatting>
  <conditionalFormatting sqref="C134">
    <cfRule type="endsWith" dxfId="1577" priority="2184" operator="endsWith" text="x">
      <formula>RIGHT(C134,LEN("x"))="x"</formula>
    </cfRule>
  </conditionalFormatting>
  <conditionalFormatting sqref="C135">
    <cfRule type="endsWith" dxfId="1576" priority="2183" operator="endsWith" text="x">
      <formula>RIGHT(C135,LEN("x"))="x"</formula>
    </cfRule>
  </conditionalFormatting>
  <conditionalFormatting sqref="C136">
    <cfRule type="endsWith" dxfId="1575" priority="2182" operator="endsWith" text="x">
      <formula>RIGHT(C136,LEN("x"))="x"</formula>
    </cfRule>
  </conditionalFormatting>
  <conditionalFormatting sqref="B123:B136">
    <cfRule type="expression" dxfId="1574" priority="2179">
      <formula>$C$7="Keskikokoinen"</formula>
    </cfRule>
  </conditionalFormatting>
  <conditionalFormatting sqref="C123:C136">
    <cfRule type="expression" dxfId="1573" priority="2178">
      <formula>$C$7="Pieni"</formula>
    </cfRule>
  </conditionalFormatting>
  <conditionalFormatting sqref="D123:D136">
    <cfRule type="expression" dxfId="1572" priority="2177">
      <formula>$C$7="Iso"</formula>
    </cfRule>
  </conditionalFormatting>
  <conditionalFormatting sqref="E123:E136">
    <cfRule type="expression" dxfId="1571" priority="2176">
      <formula>$C$7="Minimaalinen"</formula>
    </cfRule>
  </conditionalFormatting>
  <conditionalFormatting sqref="F123:F136">
    <cfRule type="expression" dxfId="1570" priority="2175">
      <formula>$C$7="Taskukokoinen"</formula>
    </cfRule>
  </conditionalFormatting>
  <conditionalFormatting sqref="G123:G136">
    <cfRule type="expression" dxfId="1569" priority="2174">
      <formula>$C$7="Hyvin pieni"</formula>
    </cfRule>
  </conditionalFormatting>
  <conditionalFormatting sqref="H123:H136">
    <cfRule type="expression" dxfId="1568" priority="2173">
      <formula>$C$7="Valtava"</formula>
    </cfRule>
  </conditionalFormatting>
  <conditionalFormatting sqref="I123:I136">
    <cfRule type="expression" dxfId="1567" priority="2171">
      <formula>$C$7="Suunnaton"</formula>
    </cfRule>
  </conditionalFormatting>
  <conditionalFormatting sqref="J123:J136">
    <cfRule type="expression" dxfId="1566" priority="2170">
      <formula>$C$7="Giganttinen"</formula>
    </cfRule>
  </conditionalFormatting>
  <conditionalFormatting sqref="A134:A135">
    <cfRule type="endsWith" dxfId="1565" priority="2168" operator="endsWith" text="x">
      <formula>RIGHT(A134,LEN("x"))="x"</formula>
    </cfRule>
  </conditionalFormatting>
  <conditionalFormatting sqref="H203">
    <cfRule type="endsWith" dxfId="1564" priority="2158" operator="endsWith" text="x">
      <formula>RIGHT(H203,LEN("x"))="x"</formula>
    </cfRule>
  </conditionalFormatting>
  <conditionalFormatting sqref="H205">
    <cfRule type="endsWith" dxfId="1563" priority="2157" operator="endsWith" text="x">
      <formula>RIGHT(H205,LEN("x"))="x"</formula>
    </cfRule>
  </conditionalFormatting>
  <conditionalFormatting sqref="K555">
    <cfRule type="endsWith" dxfId="1562" priority="1391" operator="endsWith" text="x">
      <formula>RIGHT(K555,LEN("x"))="x"</formula>
    </cfRule>
  </conditionalFormatting>
  <conditionalFormatting sqref="H553">
    <cfRule type="endsWith" dxfId="1561" priority="1395" operator="endsWith" text="x">
      <formula>RIGHT(H553,LEN("x"))="x"</formula>
    </cfRule>
  </conditionalFormatting>
  <conditionalFormatting sqref="I205">
    <cfRule type="endsWith" dxfId="1560" priority="2152" operator="endsWith" text="x">
      <formula>RIGHT(I205,LEN("x"))="x"</formula>
    </cfRule>
  </conditionalFormatting>
  <conditionalFormatting sqref="J205">
    <cfRule type="endsWith" dxfId="1559" priority="2151" operator="endsWith" text="x">
      <formula>RIGHT(J205,LEN("x"))="x"</formula>
    </cfRule>
  </conditionalFormatting>
  <conditionalFormatting sqref="K205">
    <cfRule type="endsWith" dxfId="1558" priority="2150" operator="endsWith" text="x">
      <formula>RIGHT(K205,LEN("x"))="x"</formula>
    </cfRule>
  </conditionalFormatting>
  <conditionalFormatting sqref="H207">
    <cfRule type="endsWith" dxfId="1557" priority="2149" operator="endsWith" text="x">
      <formula>RIGHT(H207,LEN("x"))="x"</formula>
    </cfRule>
  </conditionalFormatting>
  <conditionalFormatting sqref="I224:K224 I228:K229">
    <cfRule type="endsWith" dxfId="1556" priority="2148" operator="endsWith" text="x">
      <formula>RIGHT(I224,LEN("x"))="x"</formula>
    </cfRule>
  </conditionalFormatting>
  <conditionalFormatting sqref="H225">
    <cfRule type="endsWith" dxfId="1555" priority="2146" operator="endsWith" text="x">
      <formula>RIGHT(H225,LEN("x"))="x"</formula>
    </cfRule>
  </conditionalFormatting>
  <conditionalFormatting sqref="H227">
    <cfRule type="endsWith" dxfId="1554" priority="2145" operator="endsWith" text="x">
      <formula>RIGHT(H227,LEN("x"))="x"</formula>
    </cfRule>
  </conditionalFormatting>
  <conditionalFormatting sqref="I227">
    <cfRule type="endsWith" dxfId="1553" priority="2144" operator="endsWith" text="x">
      <formula>RIGHT(I227,LEN("x"))="x"</formula>
    </cfRule>
  </conditionalFormatting>
  <conditionalFormatting sqref="J227">
    <cfRule type="endsWith" dxfId="1552" priority="2143" operator="endsWith" text="x">
      <formula>RIGHT(J227,LEN("x"))="x"</formula>
    </cfRule>
  </conditionalFormatting>
  <conditionalFormatting sqref="K227">
    <cfRule type="endsWith" dxfId="1551" priority="2142" operator="endsWith" text="x">
      <formula>RIGHT(K227,LEN("x"))="x"</formula>
    </cfRule>
  </conditionalFormatting>
  <conditionalFormatting sqref="H229">
    <cfRule type="endsWith" dxfId="1550" priority="2141" operator="endsWith" text="x">
      <formula>RIGHT(H229,LEN("x"))="x"</formula>
    </cfRule>
  </conditionalFormatting>
  <conditionalFormatting sqref="I238:K238 I242:K243">
    <cfRule type="endsWith" dxfId="1549" priority="2140" operator="endsWith" text="x">
      <formula>RIGHT(I238,LEN("x"))="x"</formula>
    </cfRule>
  </conditionalFormatting>
  <conditionalFormatting sqref="H239">
    <cfRule type="endsWith" dxfId="1548" priority="2138" operator="endsWith" text="x">
      <formula>RIGHT(H239,LEN("x"))="x"</formula>
    </cfRule>
  </conditionalFormatting>
  <conditionalFormatting sqref="H241">
    <cfRule type="endsWith" dxfId="1547" priority="2137" operator="endsWith" text="x">
      <formula>RIGHT(H241,LEN("x"))="x"</formula>
    </cfRule>
  </conditionalFormatting>
  <conditionalFormatting sqref="I241">
    <cfRule type="endsWith" dxfId="1546" priority="2136" operator="endsWith" text="x">
      <formula>RIGHT(I241,LEN("x"))="x"</formula>
    </cfRule>
  </conditionalFormatting>
  <conditionalFormatting sqref="J241">
    <cfRule type="endsWith" dxfId="1545" priority="2135" operator="endsWith" text="x">
      <formula>RIGHT(J241,LEN("x"))="x"</formula>
    </cfRule>
  </conditionalFormatting>
  <conditionalFormatting sqref="K241">
    <cfRule type="endsWith" dxfId="1544" priority="2134" operator="endsWith" text="x">
      <formula>RIGHT(K241,LEN("x"))="x"</formula>
    </cfRule>
  </conditionalFormatting>
  <conditionalFormatting sqref="H243">
    <cfRule type="endsWith" dxfId="1543" priority="2133" operator="endsWith" text="x">
      <formula>RIGHT(H243,LEN("x"))="x"</formula>
    </cfRule>
  </conditionalFormatting>
  <conditionalFormatting sqref="H555">
    <cfRule type="endsWith" dxfId="1542" priority="1394" operator="endsWith" text="x">
      <formula>RIGHT(H555,LEN("x"))="x"</formula>
    </cfRule>
  </conditionalFormatting>
  <conditionalFormatting sqref="I555">
    <cfRule type="endsWith" dxfId="1541" priority="1393" operator="endsWith" text="x">
      <formula>RIGHT(I555,LEN("x"))="x"</formula>
    </cfRule>
  </conditionalFormatting>
  <conditionalFormatting sqref="J555">
    <cfRule type="endsWith" dxfId="1540" priority="1392" operator="endsWith" text="x">
      <formula>RIGHT(J555,LEN("x"))="x"</formula>
    </cfRule>
  </conditionalFormatting>
  <conditionalFormatting sqref="I252:K252 I256:K257">
    <cfRule type="endsWith" dxfId="1539" priority="2116" operator="endsWith" text="x">
      <formula>RIGHT(I252,LEN("x"))="x"</formula>
    </cfRule>
  </conditionalFormatting>
  <conditionalFormatting sqref="H253">
    <cfRule type="endsWith" dxfId="1538" priority="2114" operator="endsWith" text="x">
      <formula>RIGHT(H253,LEN("x"))="x"</formula>
    </cfRule>
  </conditionalFormatting>
  <conditionalFormatting sqref="H255">
    <cfRule type="endsWith" dxfId="1537" priority="2113" operator="endsWith" text="x">
      <formula>RIGHT(H255,LEN("x"))="x"</formula>
    </cfRule>
  </conditionalFormatting>
  <conditionalFormatting sqref="I255">
    <cfRule type="endsWith" dxfId="1536" priority="2112" operator="endsWith" text="x">
      <formula>RIGHT(I255,LEN("x"))="x"</formula>
    </cfRule>
  </conditionalFormatting>
  <conditionalFormatting sqref="J255">
    <cfRule type="endsWith" dxfId="1535" priority="2111" operator="endsWith" text="x">
      <formula>RIGHT(J255,LEN("x"))="x"</formula>
    </cfRule>
  </conditionalFormatting>
  <conditionalFormatting sqref="K255">
    <cfRule type="endsWith" dxfId="1534" priority="2110" operator="endsWith" text="x">
      <formula>RIGHT(K255,LEN("x"))="x"</formula>
    </cfRule>
  </conditionalFormatting>
  <conditionalFormatting sqref="H257">
    <cfRule type="endsWith" dxfId="1533" priority="2109" operator="endsWith" text="x">
      <formula>RIGHT(H257,LEN("x"))="x"</formula>
    </cfRule>
  </conditionalFormatting>
  <conditionalFormatting sqref="I282:K282 I286:K287">
    <cfRule type="endsWith" dxfId="1532" priority="2108" operator="endsWith" text="x">
      <formula>RIGHT(I282,LEN("x"))="x"</formula>
    </cfRule>
  </conditionalFormatting>
  <conditionalFormatting sqref="H283">
    <cfRule type="endsWith" dxfId="1531" priority="2106" operator="endsWith" text="x">
      <formula>RIGHT(H283,LEN("x"))="x"</formula>
    </cfRule>
  </conditionalFormatting>
  <conditionalFormatting sqref="H285">
    <cfRule type="endsWith" dxfId="1530" priority="2105" operator="endsWith" text="x">
      <formula>RIGHT(H285,LEN("x"))="x"</formula>
    </cfRule>
  </conditionalFormatting>
  <conditionalFormatting sqref="I285">
    <cfRule type="endsWith" dxfId="1529" priority="2104" operator="endsWith" text="x">
      <formula>RIGHT(I285,LEN("x"))="x"</formula>
    </cfRule>
  </conditionalFormatting>
  <conditionalFormatting sqref="J285">
    <cfRule type="endsWith" dxfId="1528" priority="2103" operator="endsWith" text="x">
      <formula>RIGHT(J285,LEN("x"))="x"</formula>
    </cfRule>
  </conditionalFormatting>
  <conditionalFormatting sqref="K285">
    <cfRule type="endsWith" dxfId="1527" priority="2102" operator="endsWith" text="x">
      <formula>RIGHT(K285,LEN("x"))="x"</formula>
    </cfRule>
  </conditionalFormatting>
  <conditionalFormatting sqref="H287">
    <cfRule type="endsWith" dxfId="1526" priority="2101" operator="endsWith" text="x">
      <formula>RIGHT(H287,LEN("x"))="x"</formula>
    </cfRule>
  </conditionalFormatting>
  <conditionalFormatting sqref="I474:K474 I478:K479">
    <cfRule type="endsWith" dxfId="1525" priority="2100" operator="endsWith" text="x">
      <formula>RIGHT(I474,LEN("x"))="x"</formula>
    </cfRule>
  </conditionalFormatting>
  <conditionalFormatting sqref="H475">
    <cfRule type="endsWith" dxfId="1524" priority="2098" operator="endsWith" text="x">
      <formula>RIGHT(H475,LEN("x"))="x"</formula>
    </cfRule>
  </conditionalFormatting>
  <conditionalFormatting sqref="H477">
    <cfRule type="endsWith" dxfId="1523" priority="2097" operator="endsWith" text="x">
      <formula>RIGHT(H477,LEN("x"))="x"</formula>
    </cfRule>
  </conditionalFormatting>
  <conditionalFormatting sqref="I477">
    <cfRule type="endsWith" dxfId="1522" priority="2096" operator="endsWith" text="x">
      <formula>RIGHT(I477,LEN("x"))="x"</formula>
    </cfRule>
  </conditionalFormatting>
  <conditionalFormatting sqref="J477">
    <cfRule type="endsWith" dxfId="1521" priority="2095" operator="endsWith" text="x">
      <formula>RIGHT(J477,LEN("x"))="x"</formula>
    </cfRule>
  </conditionalFormatting>
  <conditionalFormatting sqref="K477">
    <cfRule type="endsWith" dxfId="1520" priority="2094" operator="endsWith" text="x">
      <formula>RIGHT(K477,LEN("x"))="x"</formula>
    </cfRule>
  </conditionalFormatting>
  <conditionalFormatting sqref="H479">
    <cfRule type="endsWith" dxfId="1519" priority="2093" operator="endsWith" text="x">
      <formula>RIGHT(H479,LEN("x"))="x"</formula>
    </cfRule>
  </conditionalFormatting>
  <conditionalFormatting sqref="I498:K498 I502:K503">
    <cfRule type="endsWith" dxfId="1518" priority="2092" operator="endsWith" text="x">
      <formula>RIGHT(I498,LEN("x"))="x"</formula>
    </cfRule>
  </conditionalFormatting>
  <conditionalFormatting sqref="H499">
    <cfRule type="endsWith" dxfId="1517" priority="2090" operator="endsWith" text="x">
      <formula>RIGHT(H499,LEN("x"))="x"</formula>
    </cfRule>
  </conditionalFormatting>
  <conditionalFormatting sqref="H501">
    <cfRule type="endsWith" dxfId="1516" priority="2089" operator="endsWith" text="x">
      <formula>RIGHT(H501,LEN("x"))="x"</formula>
    </cfRule>
  </conditionalFormatting>
  <conditionalFormatting sqref="I501">
    <cfRule type="endsWith" dxfId="1515" priority="2088" operator="endsWith" text="x">
      <formula>RIGHT(I501,LEN("x"))="x"</formula>
    </cfRule>
  </conditionalFormatting>
  <conditionalFormatting sqref="J501">
    <cfRule type="endsWith" dxfId="1514" priority="2087" operator="endsWith" text="x">
      <formula>RIGHT(J501,LEN("x"))="x"</formula>
    </cfRule>
  </conditionalFormatting>
  <conditionalFormatting sqref="K501">
    <cfRule type="endsWith" dxfId="1513" priority="2086" operator="endsWith" text="x">
      <formula>RIGHT(K501,LEN("x"))="x"</formula>
    </cfRule>
  </conditionalFormatting>
  <conditionalFormatting sqref="H503">
    <cfRule type="endsWith" dxfId="1512" priority="2085" operator="endsWith" text="x">
      <formula>RIGHT(H503,LEN("x"))="x"</formula>
    </cfRule>
  </conditionalFormatting>
  <conditionalFormatting sqref="I650:K650 I654:K655">
    <cfRule type="endsWith" dxfId="1511" priority="2084" operator="endsWith" text="x">
      <formula>RIGHT(I650,LEN("x"))="x"</formula>
    </cfRule>
  </conditionalFormatting>
  <conditionalFormatting sqref="H651">
    <cfRule type="endsWith" dxfId="1510" priority="2082" operator="endsWith" text="x">
      <formula>RIGHT(H651,LEN("x"))="x"</formula>
    </cfRule>
  </conditionalFormatting>
  <conditionalFormatting sqref="H653">
    <cfRule type="endsWith" dxfId="1509" priority="2081" operator="endsWith" text="x">
      <formula>RIGHT(H653,LEN("x"))="x"</formula>
    </cfRule>
  </conditionalFormatting>
  <conditionalFormatting sqref="I653">
    <cfRule type="endsWith" dxfId="1508" priority="2080" operator="endsWith" text="x">
      <formula>RIGHT(I653,LEN("x"))="x"</formula>
    </cfRule>
  </conditionalFormatting>
  <conditionalFormatting sqref="J653">
    <cfRule type="endsWith" dxfId="1507" priority="2079" operator="endsWith" text="x">
      <formula>RIGHT(J653,LEN("x"))="x"</formula>
    </cfRule>
  </conditionalFormatting>
  <conditionalFormatting sqref="K653">
    <cfRule type="endsWith" dxfId="1506" priority="2078" operator="endsWith" text="x">
      <formula>RIGHT(K653,LEN("x"))="x"</formula>
    </cfRule>
  </conditionalFormatting>
  <conditionalFormatting sqref="H655">
    <cfRule type="endsWith" dxfId="1505" priority="2077" operator="endsWith" text="x">
      <formula>RIGHT(H655,LEN("x"))="x"</formula>
    </cfRule>
  </conditionalFormatting>
  <conditionalFormatting sqref="I658:K658 I662:K663">
    <cfRule type="endsWith" dxfId="1504" priority="2076" operator="endsWith" text="x">
      <formula>RIGHT(I658,LEN("x"))="x"</formula>
    </cfRule>
  </conditionalFormatting>
  <conditionalFormatting sqref="H659">
    <cfRule type="endsWith" dxfId="1503" priority="2074" operator="endsWith" text="x">
      <formula>RIGHT(H659,LEN("x"))="x"</formula>
    </cfRule>
  </conditionalFormatting>
  <conditionalFormatting sqref="H661">
    <cfRule type="endsWith" dxfId="1502" priority="2073" operator="endsWith" text="x">
      <formula>RIGHT(H661,LEN("x"))="x"</formula>
    </cfRule>
  </conditionalFormatting>
  <conditionalFormatting sqref="I661">
    <cfRule type="endsWith" dxfId="1501" priority="2072" operator="endsWith" text="x">
      <formula>RIGHT(I661,LEN("x"))="x"</formula>
    </cfRule>
  </conditionalFormatting>
  <conditionalFormatting sqref="J661">
    <cfRule type="endsWith" dxfId="1500" priority="2071" operator="endsWith" text="x">
      <formula>RIGHT(J661,LEN("x"))="x"</formula>
    </cfRule>
  </conditionalFormatting>
  <conditionalFormatting sqref="K661">
    <cfRule type="endsWith" dxfId="1499" priority="2070" operator="endsWith" text="x">
      <formula>RIGHT(K661,LEN("x"))="x"</formula>
    </cfRule>
  </conditionalFormatting>
  <conditionalFormatting sqref="H663">
    <cfRule type="endsWith" dxfId="1498" priority="2069" operator="endsWith" text="x">
      <formula>RIGHT(H663,LEN("x"))="x"</formula>
    </cfRule>
  </conditionalFormatting>
  <conditionalFormatting sqref="I666:K666 I670:K671">
    <cfRule type="endsWith" dxfId="1497" priority="2068" operator="endsWith" text="x">
      <formula>RIGHT(I666,LEN("x"))="x"</formula>
    </cfRule>
  </conditionalFormatting>
  <conditionalFormatting sqref="H667">
    <cfRule type="endsWith" dxfId="1496" priority="2066" operator="endsWith" text="x">
      <formula>RIGHT(H667,LEN("x"))="x"</formula>
    </cfRule>
  </conditionalFormatting>
  <conditionalFormatting sqref="H669">
    <cfRule type="endsWith" dxfId="1495" priority="2065" operator="endsWith" text="x">
      <formula>RIGHT(H669,LEN("x"))="x"</formula>
    </cfRule>
  </conditionalFormatting>
  <conditionalFormatting sqref="I669">
    <cfRule type="endsWith" dxfId="1494" priority="2064" operator="endsWith" text="x">
      <formula>RIGHT(I669,LEN("x"))="x"</formula>
    </cfRule>
  </conditionalFormatting>
  <conditionalFormatting sqref="J669">
    <cfRule type="endsWith" dxfId="1493" priority="2063" operator="endsWith" text="x">
      <formula>RIGHT(J669,LEN("x"))="x"</formula>
    </cfRule>
  </conditionalFormatting>
  <conditionalFormatting sqref="K669">
    <cfRule type="endsWith" dxfId="1492" priority="2062" operator="endsWith" text="x">
      <formula>RIGHT(K669,LEN("x"))="x"</formula>
    </cfRule>
  </conditionalFormatting>
  <conditionalFormatting sqref="H671">
    <cfRule type="endsWith" dxfId="1491" priority="2061" operator="endsWith" text="x">
      <formula>RIGHT(H671,LEN("x"))="x"</formula>
    </cfRule>
  </conditionalFormatting>
  <conditionalFormatting sqref="I674:K674 I678:K679">
    <cfRule type="endsWith" dxfId="1490" priority="2060" operator="endsWith" text="x">
      <formula>RIGHT(I674,LEN("x"))="x"</formula>
    </cfRule>
  </conditionalFormatting>
  <conditionalFormatting sqref="H675">
    <cfRule type="endsWith" dxfId="1489" priority="2058" operator="endsWith" text="x">
      <formula>RIGHT(H675,LEN("x"))="x"</formula>
    </cfRule>
  </conditionalFormatting>
  <conditionalFormatting sqref="H677">
    <cfRule type="endsWith" dxfId="1488" priority="2057" operator="endsWith" text="x">
      <formula>RIGHT(H677,LEN("x"))="x"</formula>
    </cfRule>
  </conditionalFormatting>
  <conditionalFormatting sqref="I677">
    <cfRule type="endsWith" dxfId="1487" priority="2056" operator="endsWith" text="x">
      <formula>RIGHT(I677,LEN("x"))="x"</formula>
    </cfRule>
  </conditionalFormatting>
  <conditionalFormatting sqref="J677">
    <cfRule type="endsWith" dxfId="1486" priority="2055" operator="endsWith" text="x">
      <formula>RIGHT(J677,LEN("x"))="x"</formula>
    </cfRule>
  </conditionalFormatting>
  <conditionalFormatting sqref="K677">
    <cfRule type="endsWith" dxfId="1485" priority="2054" operator="endsWith" text="x">
      <formula>RIGHT(K677,LEN("x"))="x"</formula>
    </cfRule>
  </conditionalFormatting>
  <conditionalFormatting sqref="H679">
    <cfRule type="endsWith" dxfId="1484" priority="2053" operator="endsWith" text="x">
      <formula>RIGHT(H679,LEN("x"))="x"</formula>
    </cfRule>
  </conditionalFormatting>
  <conditionalFormatting sqref="H683">
    <cfRule type="endsWith" dxfId="1483" priority="2052" operator="endsWith" text="x">
      <formula>RIGHT(H683,LEN("x"))="x"</formula>
    </cfRule>
  </conditionalFormatting>
  <conditionalFormatting sqref="H685">
    <cfRule type="endsWith" dxfId="1482" priority="2051" operator="endsWith" text="x">
      <formula>RIGHT(H685,LEN("x"))="x"</formula>
    </cfRule>
  </conditionalFormatting>
  <conditionalFormatting sqref="I685">
    <cfRule type="endsWith" dxfId="1481" priority="2050" operator="endsWith" text="x">
      <formula>RIGHT(I685,LEN("x"))="x"</formula>
    </cfRule>
  </conditionalFormatting>
  <conditionalFormatting sqref="H687">
    <cfRule type="endsWith" dxfId="1480" priority="2049" operator="endsWith" text="x">
      <formula>RIGHT(H687,LEN("x"))="x"</formula>
    </cfRule>
  </conditionalFormatting>
  <conditionalFormatting sqref="H693">
    <cfRule type="endsWith" dxfId="1479" priority="2048" operator="endsWith" text="x">
      <formula>RIGHT(H693,LEN("x"))="x"</formula>
    </cfRule>
  </conditionalFormatting>
  <conditionalFormatting sqref="H695">
    <cfRule type="endsWith" dxfId="1478" priority="2047" operator="endsWith" text="x">
      <formula>RIGHT(H695,LEN("x"))="x"</formula>
    </cfRule>
  </conditionalFormatting>
  <conditionalFormatting sqref="I695">
    <cfRule type="endsWith" dxfId="1477" priority="2046" operator="endsWith" text="x">
      <formula>RIGHT(I695,LEN("x"))="x"</formula>
    </cfRule>
  </conditionalFormatting>
  <conditionalFormatting sqref="J695">
    <cfRule type="endsWith" dxfId="1476" priority="2045" operator="endsWith" text="x">
      <formula>RIGHT(J695,LEN("x"))="x"</formula>
    </cfRule>
  </conditionalFormatting>
  <conditionalFormatting sqref="K695">
    <cfRule type="endsWith" dxfId="1475" priority="2044" operator="endsWith" text="x">
      <formula>RIGHT(K695,LEN("x"))="x"</formula>
    </cfRule>
  </conditionalFormatting>
  <conditionalFormatting sqref="J697">
    <cfRule type="endsWith" dxfId="1474" priority="2043" operator="endsWith" text="x">
      <formula>RIGHT(J697,LEN("x"))="x"</formula>
    </cfRule>
  </conditionalFormatting>
  <conditionalFormatting sqref="I697">
    <cfRule type="endsWith" dxfId="1473" priority="2042" operator="endsWith" text="x">
      <formula>RIGHT(I697,LEN("x"))="x"</formula>
    </cfRule>
  </conditionalFormatting>
  <conditionalFormatting sqref="H697">
    <cfRule type="endsWith" dxfId="1472" priority="2041" operator="endsWith" text="x">
      <formula>RIGHT(H697,LEN("x"))="x"</formula>
    </cfRule>
  </conditionalFormatting>
  <conditionalFormatting sqref="I705:K705 I709:K709 K710">
    <cfRule type="endsWith" dxfId="1471" priority="2040" operator="endsWith" text="x">
      <formula>RIGHT(I705,LEN("x"))="x"</formula>
    </cfRule>
  </conditionalFormatting>
  <conditionalFormatting sqref="I705:K705 I709:K709 K710">
    <cfRule type="endsWith" dxfId="1470" priority="2039" operator="endsWith" text="x">
      <formula>RIGHT(I705,LEN("x"))="x"</formula>
    </cfRule>
  </conditionalFormatting>
  <conditionalFormatting sqref="I744:K744 I748:K748 K749">
    <cfRule type="endsWith" dxfId="1469" priority="2010" operator="endsWith" text="x">
      <formula>RIGHT(I744,LEN("x"))="x"</formula>
    </cfRule>
  </conditionalFormatting>
  <conditionalFormatting sqref="I705:K705">
    <cfRule type="endsWith" dxfId="1468" priority="2036" operator="endsWith" text="x">
      <formula>RIGHT(I705,LEN("x"))="x"</formula>
    </cfRule>
  </conditionalFormatting>
  <conditionalFormatting sqref="H706">
    <cfRule type="endsWith" dxfId="1467" priority="2034" operator="endsWith" text="x">
      <formula>RIGHT(H706,LEN("x"))="x"</formula>
    </cfRule>
  </conditionalFormatting>
  <conditionalFormatting sqref="H708">
    <cfRule type="endsWith" dxfId="1466" priority="2033" operator="endsWith" text="x">
      <formula>RIGHT(H708,LEN("x"))="x"</formula>
    </cfRule>
  </conditionalFormatting>
  <conditionalFormatting sqref="I708">
    <cfRule type="endsWith" dxfId="1465" priority="2032" operator="endsWith" text="x">
      <formula>RIGHT(I708,LEN("x"))="x"</formula>
    </cfRule>
  </conditionalFormatting>
  <conditionalFormatting sqref="J708">
    <cfRule type="endsWith" dxfId="1464" priority="2031" operator="endsWith" text="x">
      <formula>RIGHT(J708,LEN("x"))="x"</formula>
    </cfRule>
  </conditionalFormatting>
  <conditionalFormatting sqref="K708">
    <cfRule type="endsWith" dxfId="1463" priority="2030" operator="endsWith" text="x">
      <formula>RIGHT(K708,LEN("x"))="x"</formula>
    </cfRule>
  </conditionalFormatting>
  <conditionalFormatting sqref="J710">
    <cfRule type="endsWith" dxfId="1462" priority="2029" operator="endsWith" text="x">
      <formula>RIGHT(J710,LEN("x"))="x"</formula>
    </cfRule>
  </conditionalFormatting>
  <conditionalFormatting sqref="I710">
    <cfRule type="endsWith" dxfId="1461" priority="2028" operator="endsWith" text="x">
      <formula>RIGHT(I710,LEN("x"))="x"</formula>
    </cfRule>
  </conditionalFormatting>
  <conditionalFormatting sqref="H710">
    <cfRule type="endsWith" dxfId="1460" priority="2027" operator="endsWith" text="x">
      <formula>RIGHT(H710,LEN("x"))="x"</formula>
    </cfRule>
  </conditionalFormatting>
  <conditionalFormatting sqref="I718:K718 I722:K723">
    <cfRule type="endsWith" dxfId="1459" priority="2026" operator="endsWith" text="x">
      <formula>RIGHT(I718,LEN("x"))="x"</formula>
    </cfRule>
  </conditionalFormatting>
  <conditionalFormatting sqref="H719">
    <cfRule type="endsWith" dxfId="1458" priority="2024" operator="endsWith" text="x">
      <formula>RIGHT(H719,LEN("x"))="x"</formula>
    </cfRule>
  </conditionalFormatting>
  <conditionalFormatting sqref="H721">
    <cfRule type="endsWith" dxfId="1457" priority="2023" operator="endsWith" text="x">
      <formula>RIGHT(H721,LEN("x"))="x"</formula>
    </cfRule>
  </conditionalFormatting>
  <conditionalFormatting sqref="I721">
    <cfRule type="endsWith" dxfId="1456" priority="2022" operator="endsWith" text="x">
      <formula>RIGHT(I721,LEN("x"))="x"</formula>
    </cfRule>
  </conditionalFormatting>
  <conditionalFormatting sqref="J721">
    <cfRule type="endsWith" dxfId="1455" priority="2021" operator="endsWith" text="x">
      <formula>RIGHT(J721,LEN("x"))="x"</formula>
    </cfRule>
  </conditionalFormatting>
  <conditionalFormatting sqref="K721">
    <cfRule type="endsWith" dxfId="1454" priority="2020" operator="endsWith" text="x">
      <formula>RIGHT(K721,LEN("x"))="x"</formula>
    </cfRule>
  </conditionalFormatting>
  <conditionalFormatting sqref="H723">
    <cfRule type="endsWith" dxfId="1453" priority="2019" operator="endsWith" text="x">
      <formula>RIGHT(H723,LEN("x"))="x"</formula>
    </cfRule>
  </conditionalFormatting>
  <conditionalFormatting sqref="I731:K731 I735:K736">
    <cfRule type="endsWith" dxfId="1452" priority="2018" operator="endsWith" text="x">
      <formula>RIGHT(I731,LEN("x"))="x"</formula>
    </cfRule>
  </conditionalFormatting>
  <conditionalFormatting sqref="H732">
    <cfRule type="endsWith" dxfId="1451" priority="2016" operator="endsWith" text="x">
      <formula>RIGHT(H732,LEN("x"))="x"</formula>
    </cfRule>
  </conditionalFormatting>
  <conditionalFormatting sqref="H734">
    <cfRule type="endsWith" dxfId="1450" priority="2015" operator="endsWith" text="x">
      <formula>RIGHT(H734,LEN("x"))="x"</formula>
    </cfRule>
  </conditionalFormatting>
  <conditionalFormatting sqref="I734">
    <cfRule type="endsWith" dxfId="1449" priority="2014" operator="endsWith" text="x">
      <formula>RIGHT(I734,LEN("x"))="x"</formula>
    </cfRule>
  </conditionalFormatting>
  <conditionalFormatting sqref="J734">
    <cfRule type="endsWith" dxfId="1448" priority="2013" operator="endsWith" text="x">
      <formula>RIGHT(J734,LEN("x"))="x"</formula>
    </cfRule>
  </conditionalFormatting>
  <conditionalFormatting sqref="K734">
    <cfRule type="endsWith" dxfId="1447" priority="2012" operator="endsWith" text="x">
      <formula>RIGHT(K734,LEN("x"))="x"</formula>
    </cfRule>
  </conditionalFormatting>
  <conditionalFormatting sqref="H736">
    <cfRule type="endsWith" dxfId="1446" priority="2011" operator="endsWith" text="x">
      <formula>RIGHT(H736,LEN("x"))="x"</formula>
    </cfRule>
  </conditionalFormatting>
  <conditionalFormatting sqref="I744:K744 I748:K748 K749">
    <cfRule type="endsWith" dxfId="1445" priority="2009" operator="endsWith" text="x">
      <formula>RIGHT(I744,LEN("x"))="x"</formula>
    </cfRule>
  </conditionalFormatting>
  <conditionalFormatting sqref="I786">
    <cfRule type="endsWith" dxfId="1444" priority="1974" operator="endsWith" text="x">
      <formula>RIGHT(I786,LEN("x"))="x"</formula>
    </cfRule>
  </conditionalFormatting>
  <conditionalFormatting sqref="J760">
    <cfRule type="endsWith" dxfId="1443" priority="1963" operator="endsWith" text="x">
      <formula>RIGHT(J760,LEN("x"))="x"</formula>
    </cfRule>
  </conditionalFormatting>
  <conditionalFormatting sqref="I744:K744">
    <cfRule type="endsWith" dxfId="1442" priority="2006" operator="endsWith" text="x">
      <formula>RIGHT(I744,LEN("x"))="x"</formula>
    </cfRule>
  </conditionalFormatting>
  <conditionalFormatting sqref="H745">
    <cfRule type="endsWith" dxfId="1441" priority="2004" operator="endsWith" text="x">
      <formula>RIGHT(H745,LEN("x"))="x"</formula>
    </cfRule>
  </conditionalFormatting>
  <conditionalFormatting sqref="H747">
    <cfRule type="endsWith" dxfId="1440" priority="2003" operator="endsWith" text="x">
      <formula>RIGHT(H747,LEN("x"))="x"</formula>
    </cfRule>
  </conditionalFormatting>
  <conditionalFormatting sqref="I747">
    <cfRule type="endsWith" dxfId="1439" priority="2002" operator="endsWith" text="x">
      <formula>RIGHT(I747,LEN("x"))="x"</formula>
    </cfRule>
  </conditionalFormatting>
  <conditionalFormatting sqref="J747">
    <cfRule type="endsWith" dxfId="1438" priority="2001" operator="endsWith" text="x">
      <formula>RIGHT(J747,LEN("x"))="x"</formula>
    </cfRule>
  </conditionalFormatting>
  <conditionalFormatting sqref="K747">
    <cfRule type="endsWith" dxfId="1437" priority="2000" operator="endsWith" text="x">
      <formula>RIGHT(K747,LEN("x"))="x"</formula>
    </cfRule>
  </conditionalFormatting>
  <conditionalFormatting sqref="J749">
    <cfRule type="endsWith" dxfId="1436" priority="1999" operator="endsWith" text="x">
      <formula>RIGHT(J749,LEN("x"))="x"</formula>
    </cfRule>
  </conditionalFormatting>
  <conditionalFormatting sqref="I749">
    <cfRule type="endsWith" dxfId="1435" priority="1998" operator="endsWith" text="x">
      <formula>RIGHT(I749,LEN("x"))="x"</formula>
    </cfRule>
  </conditionalFormatting>
  <conditionalFormatting sqref="H749">
    <cfRule type="endsWith" dxfId="1434" priority="1997" operator="endsWith" text="x">
      <formula>RIGHT(H749,LEN("x"))="x"</formula>
    </cfRule>
  </conditionalFormatting>
  <conditionalFormatting sqref="I770:K770 I774:K774 K775">
    <cfRule type="endsWith" dxfId="1433" priority="1996" operator="endsWith" text="x">
      <formula>RIGHT(I770,LEN("x"))="x"</formula>
    </cfRule>
  </conditionalFormatting>
  <conditionalFormatting sqref="I770:K770 I774:K774 K775">
    <cfRule type="endsWith" dxfId="1432" priority="1995" operator="endsWith" text="x">
      <formula>RIGHT(I770,LEN("x"))="x"</formula>
    </cfRule>
  </conditionalFormatting>
  <conditionalFormatting sqref="K799">
    <cfRule type="endsWith" dxfId="1431" priority="1956" operator="endsWith" text="x">
      <formula>RIGHT(K799,LEN("x"))="x"</formula>
    </cfRule>
  </conditionalFormatting>
  <conditionalFormatting sqref="I770:K770">
    <cfRule type="endsWith" dxfId="1430" priority="1992" operator="endsWith" text="x">
      <formula>RIGHT(I770,LEN("x"))="x"</formula>
    </cfRule>
  </conditionalFormatting>
  <conditionalFormatting sqref="H771">
    <cfRule type="endsWith" dxfId="1429" priority="1990" operator="endsWith" text="x">
      <formula>RIGHT(H771,LEN("x"))="x"</formula>
    </cfRule>
  </conditionalFormatting>
  <conditionalFormatting sqref="H773">
    <cfRule type="endsWith" dxfId="1428" priority="1989" operator="endsWith" text="x">
      <formula>RIGHT(H773,LEN("x"))="x"</formula>
    </cfRule>
  </conditionalFormatting>
  <conditionalFormatting sqref="I773">
    <cfRule type="endsWith" dxfId="1427" priority="1988" operator="endsWith" text="x">
      <formula>RIGHT(I773,LEN("x"))="x"</formula>
    </cfRule>
  </conditionalFormatting>
  <conditionalFormatting sqref="J773">
    <cfRule type="endsWith" dxfId="1426" priority="1987" operator="endsWith" text="x">
      <formula>RIGHT(J773,LEN("x"))="x"</formula>
    </cfRule>
  </conditionalFormatting>
  <conditionalFormatting sqref="K773">
    <cfRule type="endsWith" dxfId="1425" priority="1986" operator="endsWith" text="x">
      <formula>RIGHT(K773,LEN("x"))="x"</formula>
    </cfRule>
  </conditionalFormatting>
  <conditionalFormatting sqref="J775">
    <cfRule type="endsWith" dxfId="1424" priority="1985" operator="endsWith" text="x">
      <formula>RIGHT(J775,LEN("x"))="x"</formula>
    </cfRule>
  </conditionalFormatting>
  <conditionalFormatting sqref="I775">
    <cfRule type="endsWith" dxfId="1423" priority="1984" operator="endsWith" text="x">
      <formula>RIGHT(I775,LEN("x"))="x"</formula>
    </cfRule>
  </conditionalFormatting>
  <conditionalFormatting sqref="H775">
    <cfRule type="endsWith" dxfId="1422" priority="1983" operator="endsWith" text="x">
      <formula>RIGHT(H775,LEN("x"))="x"</formula>
    </cfRule>
  </conditionalFormatting>
  <conditionalFormatting sqref="I783:K783 I787:K787 K788">
    <cfRule type="endsWith" dxfId="1421" priority="1982" operator="endsWith" text="x">
      <formula>RIGHT(I783,LEN("x"))="x"</formula>
    </cfRule>
  </conditionalFormatting>
  <conditionalFormatting sqref="I783:K783 I787:K787 K788">
    <cfRule type="endsWith" dxfId="1420" priority="1981" operator="endsWith" text="x">
      <formula>RIGHT(I783,LEN("x"))="x"</formula>
    </cfRule>
  </conditionalFormatting>
  <conditionalFormatting sqref="H814">
    <cfRule type="endsWith" dxfId="1419" priority="1940" operator="endsWith" text="x">
      <formula>RIGHT(H814,LEN("x"))="x"</formula>
    </cfRule>
  </conditionalFormatting>
  <conditionalFormatting sqref="J833">
    <cfRule type="endsWith" dxfId="1418" priority="1935" operator="endsWith" text="x">
      <formula>RIGHT(J833,LEN("x"))="x"</formula>
    </cfRule>
  </conditionalFormatting>
  <conditionalFormatting sqref="I783:K783">
    <cfRule type="endsWith" dxfId="1417" priority="1978" operator="endsWith" text="x">
      <formula>RIGHT(I783,LEN("x"))="x"</formula>
    </cfRule>
  </conditionalFormatting>
  <conditionalFormatting sqref="H784">
    <cfRule type="endsWith" dxfId="1416" priority="1976" operator="endsWith" text="x">
      <formula>RIGHT(H784,LEN("x"))="x"</formula>
    </cfRule>
  </conditionalFormatting>
  <conditionalFormatting sqref="H786">
    <cfRule type="endsWith" dxfId="1415" priority="1975" operator="endsWith" text="x">
      <formula>RIGHT(H786,LEN("x"))="x"</formula>
    </cfRule>
  </conditionalFormatting>
  <conditionalFormatting sqref="J786">
    <cfRule type="endsWith" dxfId="1414" priority="1973" operator="endsWith" text="x">
      <formula>RIGHT(J786,LEN("x"))="x"</formula>
    </cfRule>
  </conditionalFormatting>
  <conditionalFormatting sqref="K786">
    <cfRule type="endsWith" dxfId="1413" priority="1972" operator="endsWith" text="x">
      <formula>RIGHT(K786,LEN("x"))="x"</formula>
    </cfRule>
  </conditionalFormatting>
  <conditionalFormatting sqref="J788">
    <cfRule type="endsWith" dxfId="1412" priority="1971" operator="endsWith" text="x">
      <formula>RIGHT(J788,LEN("x"))="x"</formula>
    </cfRule>
  </conditionalFormatting>
  <conditionalFormatting sqref="I788">
    <cfRule type="endsWith" dxfId="1411" priority="1970" operator="endsWith" text="x">
      <formula>RIGHT(I788,LEN("x"))="x"</formula>
    </cfRule>
  </conditionalFormatting>
  <conditionalFormatting sqref="H788">
    <cfRule type="endsWith" dxfId="1410" priority="1969" operator="endsWith" text="x">
      <formula>RIGHT(H788,LEN("x"))="x"</formula>
    </cfRule>
  </conditionalFormatting>
  <conditionalFormatting sqref="I757:K757 I761:K762">
    <cfRule type="endsWith" dxfId="1409" priority="1968" operator="endsWith" text="x">
      <formula>RIGHT(I757,LEN("x"))="x"</formula>
    </cfRule>
  </conditionalFormatting>
  <conditionalFormatting sqref="H758">
    <cfRule type="endsWith" dxfId="1408" priority="1966" operator="endsWith" text="x">
      <formula>RIGHT(H758,LEN("x"))="x"</formula>
    </cfRule>
  </conditionalFormatting>
  <conditionalFormatting sqref="H760">
    <cfRule type="endsWith" dxfId="1407" priority="1965" operator="endsWith" text="x">
      <formula>RIGHT(H760,LEN("x"))="x"</formula>
    </cfRule>
  </conditionalFormatting>
  <conditionalFormatting sqref="I760">
    <cfRule type="endsWith" dxfId="1406" priority="1964" operator="endsWith" text="x">
      <formula>RIGHT(I760,LEN("x"))="x"</formula>
    </cfRule>
  </conditionalFormatting>
  <conditionalFormatting sqref="K760">
    <cfRule type="endsWith" dxfId="1405" priority="1962" operator="endsWith" text="x">
      <formula>RIGHT(K760,LEN("x"))="x"</formula>
    </cfRule>
  </conditionalFormatting>
  <conditionalFormatting sqref="H762">
    <cfRule type="endsWith" dxfId="1404" priority="1961" operator="endsWith" text="x">
      <formula>RIGHT(H762,LEN("x"))="x"</formula>
    </cfRule>
  </conditionalFormatting>
  <conditionalFormatting sqref="H797">
    <cfRule type="endsWith" dxfId="1403" priority="1960" operator="endsWith" text="x">
      <formula>RIGHT(H797,LEN("x"))="x"</formula>
    </cfRule>
  </conditionalFormatting>
  <conditionalFormatting sqref="H799">
    <cfRule type="endsWith" dxfId="1402" priority="1959" operator="endsWith" text="x">
      <formula>RIGHT(H799,LEN("x"))="x"</formula>
    </cfRule>
  </conditionalFormatting>
  <conditionalFormatting sqref="I799">
    <cfRule type="endsWith" dxfId="1401" priority="1958" operator="endsWith" text="x">
      <formula>RIGHT(I799,LEN("x"))="x"</formula>
    </cfRule>
  </conditionalFormatting>
  <conditionalFormatting sqref="J799">
    <cfRule type="endsWith" dxfId="1400" priority="1957" operator="endsWith" text="x">
      <formula>RIGHT(J799,LEN("x"))="x"</formula>
    </cfRule>
  </conditionalFormatting>
  <conditionalFormatting sqref="H801">
    <cfRule type="endsWith" dxfId="1399" priority="1955" operator="endsWith" text="x">
      <formula>RIGHT(H801,LEN("x"))="x"</formula>
    </cfRule>
  </conditionalFormatting>
  <conditionalFormatting sqref="I809:K809 I813:K813 J814:K814">
    <cfRule type="endsWith" dxfId="1398" priority="1954" operator="endsWith" text="x">
      <formula>RIGHT(I809,LEN("x"))="x"</formula>
    </cfRule>
  </conditionalFormatting>
  <conditionalFormatting sqref="I809:K809 I813:K813 J814:K814">
    <cfRule type="endsWith" dxfId="1397" priority="1953" operator="endsWith" text="x">
      <formula>RIGHT(I809,LEN("x"))="x"</formula>
    </cfRule>
  </conditionalFormatting>
  <conditionalFormatting sqref="H269">
    <cfRule type="endsWith" dxfId="1396" priority="1908" operator="endsWith" text="x">
      <formula>RIGHT(H269,LEN("x"))="x"</formula>
    </cfRule>
  </conditionalFormatting>
  <conditionalFormatting sqref="I269">
    <cfRule type="endsWith" dxfId="1395" priority="1907" operator="endsWith" text="x">
      <formula>RIGHT(I269,LEN("x"))="x"</formula>
    </cfRule>
  </conditionalFormatting>
  <conditionalFormatting sqref="I809:K809">
    <cfRule type="endsWith" dxfId="1394" priority="1950" operator="endsWith" text="x">
      <formula>RIGHT(I809,LEN("x"))="x"</formula>
    </cfRule>
  </conditionalFormatting>
  <conditionalFormatting sqref="I813">
    <cfRule type="endsWith" dxfId="1393" priority="1948" operator="endsWith" text="x">
      <formula>RIGHT(I813,LEN("x"))="x"</formula>
    </cfRule>
  </conditionalFormatting>
  <conditionalFormatting sqref="H810">
    <cfRule type="endsWith" dxfId="1392" priority="1945" operator="endsWith" text="x">
      <formula>RIGHT(H810,LEN("x"))="x"</formula>
    </cfRule>
  </conditionalFormatting>
  <conditionalFormatting sqref="H812">
    <cfRule type="endsWith" dxfId="1391" priority="1944" operator="endsWith" text="x">
      <formula>RIGHT(H812,LEN("x"))="x"</formula>
    </cfRule>
  </conditionalFormatting>
  <conditionalFormatting sqref="I812">
    <cfRule type="endsWith" dxfId="1390" priority="1943" operator="endsWith" text="x">
      <formula>RIGHT(I812,LEN("x"))="x"</formula>
    </cfRule>
  </conditionalFormatting>
  <conditionalFormatting sqref="J812">
    <cfRule type="endsWith" dxfId="1389" priority="1942" operator="endsWith" text="x">
      <formula>RIGHT(J812,LEN("x"))="x"</formula>
    </cfRule>
  </conditionalFormatting>
  <conditionalFormatting sqref="K812">
    <cfRule type="endsWith" dxfId="1388" priority="1941" operator="endsWith" text="x">
      <formula>RIGHT(K812,LEN("x"))="x"</formula>
    </cfRule>
  </conditionalFormatting>
  <conditionalFormatting sqref="H825">
    <cfRule type="endsWith" dxfId="1387" priority="1939" operator="endsWith" text="x">
      <formula>RIGHT(H825,LEN("x"))="x"</formula>
    </cfRule>
  </conditionalFormatting>
  <conditionalFormatting sqref="H827">
    <cfRule type="endsWith" dxfId="1386" priority="1938" operator="endsWith" text="x">
      <formula>RIGHT(H827,LEN("x"))="x"</formula>
    </cfRule>
  </conditionalFormatting>
  <conditionalFormatting sqref="H833">
    <cfRule type="endsWith" dxfId="1385" priority="1937" operator="endsWith" text="x">
      <formula>RIGHT(H833,LEN("x"))="x"</formula>
    </cfRule>
  </conditionalFormatting>
  <conditionalFormatting sqref="I833">
    <cfRule type="endsWith" dxfId="1384" priority="1936" operator="endsWith" text="x">
      <formula>RIGHT(I833,LEN("x"))="x"</formula>
    </cfRule>
  </conditionalFormatting>
  <conditionalFormatting sqref="K833">
    <cfRule type="endsWith" dxfId="1383" priority="1934" operator="endsWith" text="x">
      <formula>RIGHT(K833,LEN("x"))="x"</formula>
    </cfRule>
  </conditionalFormatting>
  <conditionalFormatting sqref="H839">
    <cfRule type="endsWith" dxfId="1382" priority="1933" operator="endsWith" text="x">
      <formula>RIGHT(H839,LEN("x"))="x"</formula>
    </cfRule>
  </conditionalFormatting>
  <conditionalFormatting sqref="I839">
    <cfRule type="endsWith" dxfId="1381" priority="1932" operator="endsWith" text="x">
      <formula>RIGHT(I839,LEN("x"))="x"</formula>
    </cfRule>
  </conditionalFormatting>
  <conditionalFormatting sqref="J839">
    <cfRule type="endsWith" dxfId="1380" priority="1931" operator="endsWith" text="x">
      <formula>RIGHT(J839,LEN("x"))="x"</formula>
    </cfRule>
  </conditionalFormatting>
  <conditionalFormatting sqref="K839">
    <cfRule type="endsWith" dxfId="1379" priority="1930" operator="endsWith" text="x">
      <formula>RIGHT(K839,LEN("x"))="x"</formula>
    </cfRule>
  </conditionalFormatting>
  <conditionalFormatting sqref="H845">
    <cfRule type="endsWith" dxfId="1378" priority="1929" operator="endsWith" text="x">
      <formula>RIGHT(H845,LEN("x"))="x"</formula>
    </cfRule>
  </conditionalFormatting>
  <conditionalFormatting sqref="I845">
    <cfRule type="endsWith" dxfId="1377" priority="1928" operator="endsWith" text="x">
      <formula>RIGHT(I845,LEN("x"))="x"</formula>
    </cfRule>
  </conditionalFormatting>
  <conditionalFormatting sqref="J845">
    <cfRule type="endsWith" dxfId="1376" priority="1927" operator="endsWith" text="x">
      <formula>RIGHT(J845,LEN("x"))="x"</formula>
    </cfRule>
  </conditionalFormatting>
  <conditionalFormatting sqref="K845">
    <cfRule type="endsWith" dxfId="1375" priority="1926" operator="endsWith" text="x">
      <formula>RIGHT(K845,LEN("x"))="x"</formula>
    </cfRule>
  </conditionalFormatting>
  <conditionalFormatting sqref="H217">
    <cfRule type="endsWith" dxfId="1374" priority="1924" operator="endsWith" text="x">
      <formula>RIGHT(H217,LEN("x"))="x"</formula>
    </cfRule>
  </conditionalFormatting>
  <conditionalFormatting sqref="H219">
    <cfRule type="endsWith" dxfId="1373" priority="1923" operator="endsWith" text="x">
      <formula>RIGHT(H219,LEN("x"))="x"</formula>
    </cfRule>
  </conditionalFormatting>
  <conditionalFormatting sqref="I219">
    <cfRule type="endsWith" dxfId="1372" priority="1922" operator="endsWith" text="x">
      <formula>RIGHT(I219,LEN("x"))="x"</formula>
    </cfRule>
  </conditionalFormatting>
  <conditionalFormatting sqref="J219">
    <cfRule type="endsWith" dxfId="1371" priority="1921" operator="endsWith" text="x">
      <formula>RIGHT(J219,LEN("x"))="x"</formula>
    </cfRule>
  </conditionalFormatting>
  <conditionalFormatting sqref="K219">
    <cfRule type="endsWith" dxfId="1370" priority="1920" operator="endsWith" text="x">
      <formula>RIGHT(K219,LEN("x"))="x"</formula>
    </cfRule>
  </conditionalFormatting>
  <conditionalFormatting sqref="I266:K266">
    <cfRule type="endsWith" dxfId="1369" priority="1919" operator="endsWith" text="x">
      <formula>RIGHT(I266,LEN("x"))="x"</formula>
    </cfRule>
  </conditionalFormatting>
  <conditionalFormatting sqref="I304:K304">
    <cfRule type="endsWith" dxfId="1368" priority="1874" operator="endsWith" text="x">
      <formula>RIGHT(I304,LEN("x"))="x"</formula>
    </cfRule>
  </conditionalFormatting>
  <conditionalFormatting sqref="H267">
    <cfRule type="endsWith" dxfId="1367" priority="1909" operator="endsWith" text="x">
      <formula>RIGHT(H267,LEN("x"))="x"</formula>
    </cfRule>
  </conditionalFormatting>
  <conditionalFormatting sqref="J269">
    <cfRule type="endsWith" dxfId="1366" priority="1906" operator="endsWith" text="x">
      <formula>RIGHT(J269,LEN("x"))="x"</formula>
    </cfRule>
  </conditionalFormatting>
  <conditionalFormatting sqref="K269">
    <cfRule type="endsWith" dxfId="1365" priority="1905" operator="endsWith" text="x">
      <formula>RIGHT(K269,LEN("x"))="x"</formula>
    </cfRule>
  </conditionalFormatting>
  <conditionalFormatting sqref="I274:K274">
    <cfRule type="endsWith" dxfId="1364" priority="1904" operator="endsWith" text="x">
      <formula>RIGHT(I274,LEN("x"))="x"</formula>
    </cfRule>
  </conditionalFormatting>
  <conditionalFormatting sqref="I312:K312">
    <cfRule type="endsWith" dxfId="1363" priority="1859" operator="endsWith" text="x">
      <formula>RIGHT(I312,LEN("x"))="x"</formula>
    </cfRule>
  </conditionalFormatting>
  <conditionalFormatting sqref="H275">
    <cfRule type="endsWith" dxfId="1362" priority="1894" operator="endsWith" text="x">
      <formula>RIGHT(H275,LEN("x"))="x"</formula>
    </cfRule>
  </conditionalFormatting>
  <conditionalFormatting sqref="H277">
    <cfRule type="endsWith" dxfId="1361" priority="1893" operator="endsWith" text="x">
      <formula>RIGHT(H277,LEN("x"))="x"</formula>
    </cfRule>
  </conditionalFormatting>
  <conditionalFormatting sqref="I277">
    <cfRule type="endsWith" dxfId="1360" priority="1892" operator="endsWith" text="x">
      <formula>RIGHT(I277,LEN("x"))="x"</formula>
    </cfRule>
  </conditionalFormatting>
  <conditionalFormatting sqref="J277">
    <cfRule type="endsWith" dxfId="1359" priority="1891" operator="endsWith" text="x">
      <formula>RIGHT(J277,LEN("x"))="x"</formula>
    </cfRule>
  </conditionalFormatting>
  <conditionalFormatting sqref="K277">
    <cfRule type="endsWith" dxfId="1358" priority="1890" operator="endsWith" text="x">
      <formula>RIGHT(K277,LEN("x"))="x"</formula>
    </cfRule>
  </conditionalFormatting>
  <conditionalFormatting sqref="I296:K296">
    <cfRule type="endsWith" dxfId="1357" priority="1889" operator="endsWith" text="x">
      <formula>RIGHT(I296,LEN("x"))="x"</formula>
    </cfRule>
  </conditionalFormatting>
  <conditionalFormatting sqref="I320:K320">
    <cfRule type="endsWith" dxfId="1356" priority="1844" operator="endsWith" text="x">
      <formula>RIGHT(I320,LEN("x"))="x"</formula>
    </cfRule>
  </conditionalFormatting>
  <conditionalFormatting sqref="H297">
    <cfRule type="endsWith" dxfId="1355" priority="1879" operator="endsWith" text="x">
      <formula>RIGHT(H297,LEN("x"))="x"</formula>
    </cfRule>
  </conditionalFormatting>
  <conditionalFormatting sqref="H299">
    <cfRule type="endsWith" dxfId="1354" priority="1878" operator="endsWith" text="x">
      <formula>RIGHT(H299,LEN("x"))="x"</formula>
    </cfRule>
  </conditionalFormatting>
  <conditionalFormatting sqref="I299">
    <cfRule type="endsWith" dxfId="1353" priority="1877" operator="endsWith" text="x">
      <formula>RIGHT(I299,LEN("x"))="x"</formula>
    </cfRule>
  </conditionalFormatting>
  <conditionalFormatting sqref="J299">
    <cfRule type="endsWith" dxfId="1352" priority="1876" operator="endsWith" text="x">
      <formula>RIGHT(J299,LEN("x"))="x"</formula>
    </cfRule>
  </conditionalFormatting>
  <conditionalFormatting sqref="K299">
    <cfRule type="endsWith" dxfId="1351" priority="1875" operator="endsWith" text="x">
      <formula>RIGHT(K299,LEN("x"))="x"</formula>
    </cfRule>
  </conditionalFormatting>
  <conditionalFormatting sqref="I328:K328">
    <cfRule type="endsWith" dxfId="1350" priority="1829" operator="endsWith" text="x">
      <formula>RIGHT(I328,LEN("x"))="x"</formula>
    </cfRule>
  </conditionalFormatting>
  <conditionalFormatting sqref="H305">
    <cfRule type="endsWith" dxfId="1349" priority="1864" operator="endsWith" text="x">
      <formula>RIGHT(H305,LEN("x"))="x"</formula>
    </cfRule>
  </conditionalFormatting>
  <conditionalFormatting sqref="H307">
    <cfRule type="endsWith" dxfId="1348" priority="1863" operator="endsWith" text="x">
      <formula>RIGHT(H307,LEN("x"))="x"</formula>
    </cfRule>
  </conditionalFormatting>
  <conditionalFormatting sqref="I307">
    <cfRule type="endsWith" dxfId="1347" priority="1862" operator="endsWith" text="x">
      <formula>RIGHT(I307,LEN("x"))="x"</formula>
    </cfRule>
  </conditionalFormatting>
  <conditionalFormatting sqref="J307">
    <cfRule type="endsWith" dxfId="1346" priority="1861" operator="endsWith" text="x">
      <formula>RIGHT(J307,LEN("x"))="x"</formula>
    </cfRule>
  </conditionalFormatting>
  <conditionalFormatting sqref="K307">
    <cfRule type="endsWith" dxfId="1345" priority="1860" operator="endsWith" text="x">
      <formula>RIGHT(K307,LEN("x"))="x"</formula>
    </cfRule>
  </conditionalFormatting>
  <conditionalFormatting sqref="I336:K336">
    <cfRule type="endsWith" dxfId="1344" priority="1814" operator="endsWith" text="x">
      <formula>RIGHT(I336,LEN("x"))="x"</formula>
    </cfRule>
  </conditionalFormatting>
  <conditionalFormatting sqref="H313">
    <cfRule type="endsWith" dxfId="1343" priority="1849" operator="endsWith" text="x">
      <formula>RIGHT(H313,LEN("x"))="x"</formula>
    </cfRule>
  </conditionalFormatting>
  <conditionalFormatting sqref="H315">
    <cfRule type="endsWith" dxfId="1342" priority="1848" operator="endsWith" text="x">
      <formula>RIGHT(H315,LEN("x"))="x"</formula>
    </cfRule>
  </conditionalFormatting>
  <conditionalFormatting sqref="I315">
    <cfRule type="endsWith" dxfId="1341" priority="1847" operator="endsWith" text="x">
      <formula>RIGHT(I315,LEN("x"))="x"</formula>
    </cfRule>
  </conditionalFormatting>
  <conditionalFormatting sqref="J315">
    <cfRule type="endsWith" dxfId="1340" priority="1846" operator="endsWith" text="x">
      <formula>RIGHT(J315,LEN("x"))="x"</formula>
    </cfRule>
  </conditionalFormatting>
  <conditionalFormatting sqref="K315">
    <cfRule type="endsWith" dxfId="1339" priority="1845" operator="endsWith" text="x">
      <formula>RIGHT(K315,LEN("x"))="x"</formula>
    </cfRule>
  </conditionalFormatting>
  <conditionalFormatting sqref="I344:K344">
    <cfRule type="endsWith" dxfId="1338" priority="1799" operator="endsWith" text="x">
      <formula>RIGHT(I344,LEN("x"))="x"</formula>
    </cfRule>
  </conditionalFormatting>
  <conditionalFormatting sqref="H321">
    <cfRule type="endsWith" dxfId="1337" priority="1834" operator="endsWith" text="x">
      <formula>RIGHT(H321,LEN("x"))="x"</formula>
    </cfRule>
  </conditionalFormatting>
  <conditionalFormatting sqref="H323">
    <cfRule type="endsWith" dxfId="1336" priority="1833" operator="endsWith" text="x">
      <formula>RIGHT(H323,LEN("x"))="x"</formula>
    </cfRule>
  </conditionalFormatting>
  <conditionalFormatting sqref="I323">
    <cfRule type="endsWith" dxfId="1335" priority="1832" operator="endsWith" text="x">
      <formula>RIGHT(I323,LEN("x"))="x"</formula>
    </cfRule>
  </conditionalFormatting>
  <conditionalFormatting sqref="J323">
    <cfRule type="endsWith" dxfId="1334" priority="1831" operator="endsWith" text="x">
      <formula>RIGHT(J323,LEN("x"))="x"</formula>
    </cfRule>
  </conditionalFormatting>
  <conditionalFormatting sqref="K323">
    <cfRule type="endsWith" dxfId="1333" priority="1830" operator="endsWith" text="x">
      <formula>RIGHT(K323,LEN("x"))="x"</formula>
    </cfRule>
  </conditionalFormatting>
  <conditionalFormatting sqref="I352:K352">
    <cfRule type="endsWith" dxfId="1332" priority="1784" operator="endsWith" text="x">
      <formula>RIGHT(I352,LEN("x"))="x"</formula>
    </cfRule>
  </conditionalFormatting>
  <conditionalFormatting sqref="H329">
    <cfRule type="endsWith" dxfId="1331" priority="1819" operator="endsWith" text="x">
      <formula>RIGHT(H329,LEN("x"))="x"</formula>
    </cfRule>
  </conditionalFormatting>
  <conditionalFormatting sqref="H331">
    <cfRule type="endsWith" dxfId="1330" priority="1818" operator="endsWith" text="x">
      <formula>RIGHT(H331,LEN("x"))="x"</formula>
    </cfRule>
  </conditionalFormatting>
  <conditionalFormatting sqref="I331">
    <cfRule type="endsWith" dxfId="1329" priority="1817" operator="endsWith" text="x">
      <formula>RIGHT(I331,LEN("x"))="x"</formula>
    </cfRule>
  </conditionalFormatting>
  <conditionalFormatting sqref="J331">
    <cfRule type="endsWith" dxfId="1328" priority="1816" operator="endsWith" text="x">
      <formula>RIGHT(J331,LEN("x"))="x"</formula>
    </cfRule>
  </conditionalFormatting>
  <conditionalFormatting sqref="K331">
    <cfRule type="endsWith" dxfId="1327" priority="1815" operator="endsWith" text="x">
      <formula>RIGHT(K331,LEN("x"))="x"</formula>
    </cfRule>
  </conditionalFormatting>
  <conditionalFormatting sqref="I360:K360">
    <cfRule type="endsWith" dxfId="1326" priority="1769" operator="endsWith" text="x">
      <formula>RIGHT(I360,LEN("x"))="x"</formula>
    </cfRule>
  </conditionalFormatting>
  <conditionalFormatting sqref="H337">
    <cfRule type="endsWith" dxfId="1325" priority="1804" operator="endsWith" text="x">
      <formula>RIGHT(H337,LEN("x"))="x"</formula>
    </cfRule>
  </conditionalFormatting>
  <conditionalFormatting sqref="H339">
    <cfRule type="endsWith" dxfId="1324" priority="1803" operator="endsWith" text="x">
      <formula>RIGHT(H339,LEN("x"))="x"</formula>
    </cfRule>
  </conditionalFormatting>
  <conditionalFormatting sqref="I339">
    <cfRule type="endsWith" dxfId="1323" priority="1802" operator="endsWith" text="x">
      <formula>RIGHT(I339,LEN("x"))="x"</formula>
    </cfRule>
  </conditionalFormatting>
  <conditionalFormatting sqref="J339">
    <cfRule type="endsWith" dxfId="1322" priority="1801" operator="endsWith" text="x">
      <formula>RIGHT(J339,LEN("x"))="x"</formula>
    </cfRule>
  </conditionalFormatting>
  <conditionalFormatting sqref="K339">
    <cfRule type="endsWith" dxfId="1321" priority="1800" operator="endsWith" text="x">
      <formula>RIGHT(K339,LEN("x"))="x"</formula>
    </cfRule>
  </conditionalFormatting>
  <conditionalFormatting sqref="I368:K368">
    <cfRule type="endsWith" dxfId="1320" priority="1754" operator="endsWith" text="x">
      <formula>RIGHT(I368,LEN("x"))="x"</formula>
    </cfRule>
  </conditionalFormatting>
  <conditionalFormatting sqref="H345">
    <cfRule type="endsWith" dxfId="1319" priority="1789" operator="endsWith" text="x">
      <formula>RIGHT(H345,LEN("x"))="x"</formula>
    </cfRule>
  </conditionalFormatting>
  <conditionalFormatting sqref="H347">
    <cfRule type="endsWith" dxfId="1318" priority="1788" operator="endsWith" text="x">
      <formula>RIGHT(H347,LEN("x"))="x"</formula>
    </cfRule>
  </conditionalFormatting>
  <conditionalFormatting sqref="I347">
    <cfRule type="endsWith" dxfId="1317" priority="1787" operator="endsWith" text="x">
      <formula>RIGHT(I347,LEN("x"))="x"</formula>
    </cfRule>
  </conditionalFormatting>
  <conditionalFormatting sqref="J347">
    <cfRule type="endsWith" dxfId="1316" priority="1786" operator="endsWith" text="x">
      <formula>RIGHT(J347,LEN("x"))="x"</formula>
    </cfRule>
  </conditionalFormatting>
  <conditionalFormatting sqref="K347">
    <cfRule type="endsWith" dxfId="1315" priority="1785" operator="endsWith" text="x">
      <formula>RIGHT(K347,LEN("x"))="x"</formula>
    </cfRule>
  </conditionalFormatting>
  <conditionalFormatting sqref="I376:K376">
    <cfRule type="endsWith" dxfId="1314" priority="1739" operator="endsWith" text="x">
      <formula>RIGHT(I376,LEN("x"))="x"</formula>
    </cfRule>
  </conditionalFormatting>
  <conditionalFormatting sqref="H353">
    <cfRule type="endsWith" dxfId="1313" priority="1774" operator="endsWith" text="x">
      <formula>RIGHT(H353,LEN("x"))="x"</formula>
    </cfRule>
  </conditionalFormatting>
  <conditionalFormatting sqref="H355">
    <cfRule type="endsWith" dxfId="1312" priority="1773" operator="endsWith" text="x">
      <formula>RIGHT(H355,LEN("x"))="x"</formula>
    </cfRule>
  </conditionalFormatting>
  <conditionalFormatting sqref="I355">
    <cfRule type="endsWith" dxfId="1311" priority="1772" operator="endsWith" text="x">
      <formula>RIGHT(I355,LEN("x"))="x"</formula>
    </cfRule>
  </conditionalFormatting>
  <conditionalFormatting sqref="J355">
    <cfRule type="endsWith" dxfId="1310" priority="1771" operator="endsWith" text="x">
      <formula>RIGHT(J355,LEN("x"))="x"</formula>
    </cfRule>
  </conditionalFormatting>
  <conditionalFormatting sqref="K355">
    <cfRule type="endsWith" dxfId="1309" priority="1770" operator="endsWith" text="x">
      <formula>RIGHT(K355,LEN("x"))="x"</formula>
    </cfRule>
  </conditionalFormatting>
  <conditionalFormatting sqref="I392:K392">
    <cfRule type="endsWith" dxfId="1308" priority="1724" operator="endsWith" text="x">
      <formula>RIGHT(I392,LEN("x"))="x"</formula>
    </cfRule>
  </conditionalFormatting>
  <conditionalFormatting sqref="H361">
    <cfRule type="endsWith" dxfId="1307" priority="1759" operator="endsWith" text="x">
      <formula>RIGHT(H361,LEN("x"))="x"</formula>
    </cfRule>
  </conditionalFormatting>
  <conditionalFormatting sqref="H363">
    <cfRule type="endsWith" dxfId="1306" priority="1758" operator="endsWith" text="x">
      <formula>RIGHT(H363,LEN("x"))="x"</formula>
    </cfRule>
  </conditionalFormatting>
  <conditionalFormatting sqref="I363">
    <cfRule type="endsWith" dxfId="1305" priority="1757" operator="endsWith" text="x">
      <formula>RIGHT(I363,LEN("x"))="x"</formula>
    </cfRule>
  </conditionalFormatting>
  <conditionalFormatting sqref="J363">
    <cfRule type="endsWith" dxfId="1304" priority="1756" operator="endsWith" text="x">
      <formula>RIGHT(J363,LEN("x"))="x"</formula>
    </cfRule>
  </conditionalFormatting>
  <conditionalFormatting sqref="K363">
    <cfRule type="endsWith" dxfId="1303" priority="1755" operator="endsWith" text="x">
      <formula>RIGHT(K363,LEN("x"))="x"</formula>
    </cfRule>
  </conditionalFormatting>
  <conditionalFormatting sqref="I384:K384">
    <cfRule type="endsWith" dxfId="1302" priority="1709" operator="endsWith" text="x">
      <formula>RIGHT(I384,LEN("x"))="x"</formula>
    </cfRule>
  </conditionalFormatting>
  <conditionalFormatting sqref="H369">
    <cfRule type="endsWith" dxfId="1301" priority="1744" operator="endsWith" text="x">
      <formula>RIGHT(H369,LEN("x"))="x"</formula>
    </cfRule>
  </conditionalFormatting>
  <conditionalFormatting sqref="H371">
    <cfRule type="endsWith" dxfId="1300" priority="1743" operator="endsWith" text="x">
      <formula>RIGHT(H371,LEN("x"))="x"</formula>
    </cfRule>
  </conditionalFormatting>
  <conditionalFormatting sqref="I371">
    <cfRule type="endsWith" dxfId="1299" priority="1742" operator="endsWith" text="x">
      <formula>RIGHT(I371,LEN("x"))="x"</formula>
    </cfRule>
  </conditionalFormatting>
  <conditionalFormatting sqref="J371">
    <cfRule type="endsWith" dxfId="1298" priority="1741" operator="endsWith" text="x">
      <formula>RIGHT(J371,LEN("x"))="x"</formula>
    </cfRule>
  </conditionalFormatting>
  <conditionalFormatting sqref="K371">
    <cfRule type="endsWith" dxfId="1297" priority="1740" operator="endsWith" text="x">
      <formula>RIGHT(K371,LEN("x"))="x"</formula>
    </cfRule>
  </conditionalFormatting>
  <conditionalFormatting sqref="I402:K402">
    <cfRule type="endsWith" dxfId="1296" priority="1694" operator="endsWith" text="x">
      <formula>RIGHT(I402,LEN("x"))="x"</formula>
    </cfRule>
  </conditionalFormatting>
  <conditionalFormatting sqref="H377">
    <cfRule type="endsWith" dxfId="1295" priority="1729" operator="endsWith" text="x">
      <formula>RIGHT(H377,LEN("x"))="x"</formula>
    </cfRule>
  </conditionalFormatting>
  <conditionalFormatting sqref="H379">
    <cfRule type="endsWith" dxfId="1294" priority="1728" operator="endsWith" text="x">
      <formula>RIGHT(H379,LEN("x"))="x"</formula>
    </cfRule>
  </conditionalFormatting>
  <conditionalFormatting sqref="I379">
    <cfRule type="endsWith" dxfId="1293" priority="1727" operator="endsWith" text="x">
      <formula>RIGHT(I379,LEN("x"))="x"</formula>
    </cfRule>
  </conditionalFormatting>
  <conditionalFormatting sqref="J379">
    <cfRule type="endsWith" dxfId="1292" priority="1726" operator="endsWith" text="x">
      <formula>RIGHT(J379,LEN("x"))="x"</formula>
    </cfRule>
  </conditionalFormatting>
  <conditionalFormatting sqref="K379">
    <cfRule type="endsWith" dxfId="1291" priority="1725" operator="endsWith" text="x">
      <formula>RIGHT(K379,LEN("x"))="x"</formula>
    </cfRule>
  </conditionalFormatting>
  <conditionalFormatting sqref="I408:K408">
    <cfRule type="endsWith" dxfId="1290" priority="1679" operator="endsWith" text="x">
      <formula>RIGHT(I408,LEN("x"))="x"</formula>
    </cfRule>
  </conditionalFormatting>
  <conditionalFormatting sqref="H393">
    <cfRule type="endsWith" dxfId="1289" priority="1714" operator="endsWith" text="x">
      <formula>RIGHT(H393,LEN("x"))="x"</formula>
    </cfRule>
  </conditionalFormatting>
  <conditionalFormatting sqref="H395">
    <cfRule type="endsWith" dxfId="1288" priority="1713" operator="endsWith" text="x">
      <formula>RIGHT(H395,LEN("x"))="x"</formula>
    </cfRule>
  </conditionalFormatting>
  <conditionalFormatting sqref="I395">
    <cfRule type="endsWith" dxfId="1287" priority="1712" operator="endsWith" text="x">
      <formula>RIGHT(I395,LEN("x"))="x"</formula>
    </cfRule>
  </conditionalFormatting>
  <conditionalFormatting sqref="J395">
    <cfRule type="endsWith" dxfId="1286" priority="1711" operator="endsWith" text="x">
      <formula>RIGHT(J395,LEN("x"))="x"</formula>
    </cfRule>
  </conditionalFormatting>
  <conditionalFormatting sqref="K395">
    <cfRule type="endsWith" dxfId="1285" priority="1710" operator="endsWith" text="x">
      <formula>RIGHT(K395,LEN("x"))="x"</formula>
    </cfRule>
  </conditionalFormatting>
  <conditionalFormatting sqref="I414:K414">
    <cfRule type="endsWith" dxfId="1284" priority="1664" operator="endsWith" text="x">
      <formula>RIGHT(I414,LEN("x"))="x"</formula>
    </cfRule>
  </conditionalFormatting>
  <conditionalFormatting sqref="H385">
    <cfRule type="endsWith" dxfId="1283" priority="1699" operator="endsWith" text="x">
      <formula>RIGHT(H385,LEN("x"))="x"</formula>
    </cfRule>
  </conditionalFormatting>
  <conditionalFormatting sqref="H387">
    <cfRule type="endsWith" dxfId="1282" priority="1698" operator="endsWith" text="x">
      <formula>RIGHT(H387,LEN("x"))="x"</formula>
    </cfRule>
  </conditionalFormatting>
  <conditionalFormatting sqref="I387">
    <cfRule type="endsWith" dxfId="1281" priority="1697" operator="endsWith" text="x">
      <formula>RIGHT(I387,LEN("x"))="x"</formula>
    </cfRule>
  </conditionalFormatting>
  <conditionalFormatting sqref="J387">
    <cfRule type="endsWith" dxfId="1280" priority="1696" operator="endsWith" text="x">
      <formula>RIGHT(J387,LEN("x"))="x"</formula>
    </cfRule>
  </conditionalFormatting>
  <conditionalFormatting sqref="K387">
    <cfRule type="endsWith" dxfId="1279" priority="1695" operator="endsWith" text="x">
      <formula>RIGHT(K387,LEN("x"))="x"</formula>
    </cfRule>
  </conditionalFormatting>
  <conditionalFormatting sqref="I420:K420">
    <cfRule type="endsWith" dxfId="1278" priority="1649" operator="endsWith" text="x">
      <formula>RIGHT(I420,LEN("x"))="x"</formula>
    </cfRule>
  </conditionalFormatting>
  <conditionalFormatting sqref="H405">
    <cfRule type="endsWith" dxfId="1276" priority="1683" operator="endsWith" text="x">
      <formula>RIGHT(H405,LEN("x"))="x"</formula>
    </cfRule>
  </conditionalFormatting>
  <conditionalFormatting sqref="I405">
    <cfRule type="endsWith" dxfId="1275" priority="1682" operator="endsWith" text="x">
      <formula>RIGHT(I405,LEN("x"))="x"</formula>
    </cfRule>
  </conditionalFormatting>
  <conditionalFormatting sqref="J405">
    <cfRule type="endsWith" dxfId="1274" priority="1681" operator="endsWith" text="x">
      <formula>RIGHT(J405,LEN("x"))="x"</formula>
    </cfRule>
  </conditionalFormatting>
  <conditionalFormatting sqref="K405">
    <cfRule type="endsWith" dxfId="1273" priority="1680" operator="endsWith" text="x">
      <formula>RIGHT(K405,LEN("x"))="x"</formula>
    </cfRule>
  </conditionalFormatting>
  <conditionalFormatting sqref="I426:K426">
    <cfRule type="endsWith" dxfId="1272" priority="1634" operator="endsWith" text="x">
      <formula>RIGHT(I426,LEN("x"))="x"</formula>
    </cfRule>
  </conditionalFormatting>
  <conditionalFormatting sqref="H409">
    <cfRule type="endsWith" dxfId="1271" priority="1669" operator="endsWith" text="x">
      <formula>RIGHT(H409,LEN("x"))="x"</formula>
    </cfRule>
  </conditionalFormatting>
  <conditionalFormatting sqref="H411">
    <cfRule type="endsWith" dxfId="1270" priority="1668" operator="endsWith" text="x">
      <formula>RIGHT(H411,LEN("x"))="x"</formula>
    </cfRule>
  </conditionalFormatting>
  <conditionalFormatting sqref="I411">
    <cfRule type="endsWith" dxfId="1269" priority="1667" operator="endsWith" text="x">
      <formula>RIGHT(I411,LEN("x"))="x"</formula>
    </cfRule>
  </conditionalFormatting>
  <conditionalFormatting sqref="J411">
    <cfRule type="endsWith" dxfId="1268" priority="1666" operator="endsWith" text="x">
      <formula>RIGHT(J411,LEN("x"))="x"</formula>
    </cfRule>
  </conditionalFormatting>
  <conditionalFormatting sqref="K411">
    <cfRule type="endsWith" dxfId="1267" priority="1665" operator="endsWith" text="x">
      <formula>RIGHT(K411,LEN("x"))="x"</formula>
    </cfRule>
  </conditionalFormatting>
  <conditionalFormatting sqref="I432:K432">
    <cfRule type="endsWith" dxfId="1266" priority="1619" operator="endsWith" text="x">
      <formula>RIGHT(I432,LEN("x"))="x"</formula>
    </cfRule>
  </conditionalFormatting>
  <conditionalFormatting sqref="H415">
    <cfRule type="endsWith" dxfId="1265" priority="1654" operator="endsWith" text="x">
      <formula>RIGHT(H415,LEN("x"))="x"</formula>
    </cfRule>
  </conditionalFormatting>
  <conditionalFormatting sqref="H417">
    <cfRule type="endsWith" dxfId="1264" priority="1653" operator="endsWith" text="x">
      <formula>RIGHT(H417,LEN("x"))="x"</formula>
    </cfRule>
  </conditionalFormatting>
  <conditionalFormatting sqref="I417">
    <cfRule type="endsWith" dxfId="1263" priority="1652" operator="endsWith" text="x">
      <formula>RIGHT(I417,LEN("x"))="x"</formula>
    </cfRule>
  </conditionalFormatting>
  <conditionalFormatting sqref="J417">
    <cfRule type="endsWith" dxfId="1262" priority="1651" operator="endsWith" text="x">
      <formula>RIGHT(J417,LEN("x"))="x"</formula>
    </cfRule>
  </conditionalFormatting>
  <conditionalFormatting sqref="K417">
    <cfRule type="endsWith" dxfId="1261" priority="1650" operator="endsWith" text="x">
      <formula>RIGHT(K417,LEN("x"))="x"</formula>
    </cfRule>
  </conditionalFormatting>
  <conditionalFormatting sqref="I438:K438">
    <cfRule type="endsWith" dxfId="1260" priority="1604" operator="endsWith" text="x">
      <formula>RIGHT(I438,LEN("x"))="x"</formula>
    </cfRule>
  </conditionalFormatting>
  <conditionalFormatting sqref="H421">
    <cfRule type="endsWith" dxfId="1259" priority="1639" operator="endsWith" text="x">
      <formula>RIGHT(H421,LEN("x"))="x"</formula>
    </cfRule>
  </conditionalFormatting>
  <conditionalFormatting sqref="H423">
    <cfRule type="endsWith" dxfId="1258" priority="1638" operator="endsWith" text="x">
      <formula>RIGHT(H423,LEN("x"))="x"</formula>
    </cfRule>
  </conditionalFormatting>
  <conditionalFormatting sqref="I423">
    <cfRule type="endsWith" dxfId="1257" priority="1637" operator="endsWith" text="x">
      <formula>RIGHT(I423,LEN("x"))="x"</formula>
    </cfRule>
  </conditionalFormatting>
  <conditionalFormatting sqref="J423">
    <cfRule type="endsWith" dxfId="1256" priority="1636" operator="endsWith" text="x">
      <formula>RIGHT(J423,LEN("x"))="x"</formula>
    </cfRule>
  </conditionalFormatting>
  <conditionalFormatting sqref="K423">
    <cfRule type="endsWith" dxfId="1255" priority="1635" operator="endsWith" text="x">
      <formula>RIGHT(K423,LEN("x"))="x"</formula>
    </cfRule>
  </conditionalFormatting>
  <conditionalFormatting sqref="I444:K444">
    <cfRule type="endsWith" dxfId="1254" priority="1589" operator="endsWith" text="x">
      <formula>RIGHT(I444,LEN("x"))="x"</formula>
    </cfRule>
  </conditionalFormatting>
  <conditionalFormatting sqref="H427">
    <cfRule type="endsWith" dxfId="1253" priority="1624" operator="endsWith" text="x">
      <formula>RIGHT(H427,LEN("x"))="x"</formula>
    </cfRule>
  </conditionalFormatting>
  <conditionalFormatting sqref="H429">
    <cfRule type="endsWith" dxfId="1252" priority="1623" operator="endsWith" text="x">
      <formula>RIGHT(H429,LEN("x"))="x"</formula>
    </cfRule>
  </conditionalFormatting>
  <conditionalFormatting sqref="I429">
    <cfRule type="endsWith" dxfId="1251" priority="1622" operator="endsWith" text="x">
      <formula>RIGHT(I429,LEN("x"))="x"</formula>
    </cfRule>
  </conditionalFormatting>
  <conditionalFormatting sqref="J429">
    <cfRule type="endsWith" dxfId="1250" priority="1621" operator="endsWith" text="x">
      <formula>RIGHT(J429,LEN("x"))="x"</formula>
    </cfRule>
  </conditionalFormatting>
  <conditionalFormatting sqref="K429">
    <cfRule type="endsWith" dxfId="1249" priority="1620" operator="endsWith" text="x">
      <formula>RIGHT(K429,LEN("x"))="x"</formula>
    </cfRule>
  </conditionalFormatting>
  <conditionalFormatting sqref="I450:K450">
    <cfRule type="endsWith" dxfId="1248" priority="1574" operator="endsWith" text="x">
      <formula>RIGHT(I450,LEN("x"))="x"</formula>
    </cfRule>
  </conditionalFormatting>
  <conditionalFormatting sqref="H433">
    <cfRule type="endsWith" dxfId="1247" priority="1609" operator="endsWith" text="x">
      <formula>RIGHT(H433,LEN("x"))="x"</formula>
    </cfRule>
  </conditionalFormatting>
  <conditionalFormatting sqref="H435">
    <cfRule type="endsWith" dxfId="1246" priority="1608" operator="endsWith" text="x">
      <formula>RIGHT(H435,LEN("x"))="x"</formula>
    </cfRule>
  </conditionalFormatting>
  <conditionalFormatting sqref="I435">
    <cfRule type="endsWith" dxfId="1245" priority="1607" operator="endsWith" text="x">
      <formula>RIGHT(I435,LEN("x"))="x"</formula>
    </cfRule>
  </conditionalFormatting>
  <conditionalFormatting sqref="J435">
    <cfRule type="endsWith" dxfId="1244" priority="1606" operator="endsWith" text="x">
      <formula>RIGHT(J435,LEN("x"))="x"</formula>
    </cfRule>
  </conditionalFormatting>
  <conditionalFormatting sqref="K435">
    <cfRule type="endsWith" dxfId="1243" priority="1605" operator="endsWith" text="x">
      <formula>RIGHT(K435,LEN("x"))="x"</formula>
    </cfRule>
  </conditionalFormatting>
  <conditionalFormatting sqref="I456:K456">
    <cfRule type="endsWith" dxfId="1242" priority="1559" operator="endsWith" text="x">
      <formula>RIGHT(I456,LEN("x"))="x"</formula>
    </cfRule>
  </conditionalFormatting>
  <conditionalFormatting sqref="H439">
    <cfRule type="endsWith" dxfId="1241" priority="1594" operator="endsWith" text="x">
      <formula>RIGHT(H439,LEN("x"))="x"</formula>
    </cfRule>
  </conditionalFormatting>
  <conditionalFormatting sqref="H441">
    <cfRule type="endsWith" dxfId="1240" priority="1593" operator="endsWith" text="x">
      <formula>RIGHT(H441,LEN("x"))="x"</formula>
    </cfRule>
  </conditionalFormatting>
  <conditionalFormatting sqref="I441">
    <cfRule type="endsWith" dxfId="1239" priority="1592" operator="endsWith" text="x">
      <formula>RIGHT(I441,LEN("x"))="x"</formula>
    </cfRule>
  </conditionalFormatting>
  <conditionalFormatting sqref="J441">
    <cfRule type="endsWith" dxfId="1238" priority="1591" operator="endsWith" text="x">
      <formula>RIGHT(J441,LEN("x"))="x"</formula>
    </cfRule>
  </conditionalFormatting>
  <conditionalFormatting sqref="K441">
    <cfRule type="endsWith" dxfId="1237" priority="1590" operator="endsWith" text="x">
      <formula>RIGHT(K441,LEN("x"))="x"</formula>
    </cfRule>
  </conditionalFormatting>
  <conditionalFormatting sqref="I462:K462">
    <cfRule type="endsWith" dxfId="1236" priority="1544" operator="endsWith" text="x">
      <formula>RIGHT(I462,LEN("x"))="x"</formula>
    </cfRule>
  </conditionalFormatting>
  <conditionalFormatting sqref="H445">
    <cfRule type="endsWith" dxfId="1235" priority="1579" operator="endsWith" text="x">
      <formula>RIGHT(H445,LEN("x"))="x"</formula>
    </cfRule>
  </conditionalFormatting>
  <conditionalFormatting sqref="H447">
    <cfRule type="endsWith" dxfId="1234" priority="1578" operator="endsWith" text="x">
      <formula>RIGHT(H447,LEN("x"))="x"</formula>
    </cfRule>
  </conditionalFormatting>
  <conditionalFormatting sqref="I447">
    <cfRule type="endsWith" dxfId="1233" priority="1577" operator="endsWith" text="x">
      <formula>RIGHT(I447,LEN("x"))="x"</formula>
    </cfRule>
  </conditionalFormatting>
  <conditionalFormatting sqref="J447">
    <cfRule type="endsWith" dxfId="1232" priority="1576" operator="endsWith" text="x">
      <formula>RIGHT(J447,LEN("x"))="x"</formula>
    </cfRule>
  </conditionalFormatting>
  <conditionalFormatting sqref="K447">
    <cfRule type="endsWith" dxfId="1231" priority="1575" operator="endsWith" text="x">
      <formula>RIGHT(K447,LEN("x"))="x"</formula>
    </cfRule>
  </conditionalFormatting>
  <conditionalFormatting sqref="I468:K468">
    <cfRule type="endsWith" dxfId="1230" priority="1529" operator="endsWith" text="x">
      <formula>RIGHT(I468,LEN("x"))="x"</formula>
    </cfRule>
  </conditionalFormatting>
  <conditionalFormatting sqref="H451">
    <cfRule type="endsWith" dxfId="1229" priority="1564" operator="endsWith" text="x">
      <formula>RIGHT(H451,LEN("x"))="x"</formula>
    </cfRule>
  </conditionalFormatting>
  <conditionalFormatting sqref="H453">
    <cfRule type="endsWith" dxfId="1228" priority="1563" operator="endsWith" text="x">
      <formula>RIGHT(H453,LEN("x"))="x"</formula>
    </cfRule>
  </conditionalFormatting>
  <conditionalFormatting sqref="I453">
    <cfRule type="endsWith" dxfId="1227" priority="1562" operator="endsWith" text="x">
      <formula>RIGHT(I453,LEN("x"))="x"</formula>
    </cfRule>
  </conditionalFormatting>
  <conditionalFormatting sqref="J453">
    <cfRule type="endsWith" dxfId="1226" priority="1561" operator="endsWith" text="x">
      <formula>RIGHT(J453,LEN("x"))="x"</formula>
    </cfRule>
  </conditionalFormatting>
  <conditionalFormatting sqref="K453">
    <cfRule type="endsWith" dxfId="1225" priority="1560" operator="endsWith" text="x">
      <formula>RIGHT(K453,LEN("x"))="x"</formula>
    </cfRule>
  </conditionalFormatting>
  <conditionalFormatting sqref="I486:K486">
    <cfRule type="endsWith" dxfId="1224" priority="1514" operator="endsWith" text="x">
      <formula>RIGHT(I486,LEN("x"))="x"</formula>
    </cfRule>
  </conditionalFormatting>
  <conditionalFormatting sqref="H457">
    <cfRule type="endsWith" dxfId="1223" priority="1549" operator="endsWith" text="x">
      <formula>RIGHT(H457,LEN("x"))="x"</formula>
    </cfRule>
  </conditionalFormatting>
  <conditionalFormatting sqref="H459">
    <cfRule type="endsWith" dxfId="1222" priority="1548" operator="endsWith" text="x">
      <formula>RIGHT(H459,LEN("x"))="x"</formula>
    </cfRule>
  </conditionalFormatting>
  <conditionalFormatting sqref="I459">
    <cfRule type="endsWith" dxfId="1221" priority="1547" operator="endsWith" text="x">
      <formula>RIGHT(I459,LEN("x"))="x"</formula>
    </cfRule>
  </conditionalFormatting>
  <conditionalFormatting sqref="J459">
    <cfRule type="endsWith" dxfId="1220" priority="1546" operator="endsWith" text="x">
      <formula>RIGHT(J459,LEN("x"))="x"</formula>
    </cfRule>
  </conditionalFormatting>
  <conditionalFormatting sqref="K459">
    <cfRule type="endsWith" dxfId="1219" priority="1545" operator="endsWith" text="x">
      <formula>RIGHT(K459,LEN("x"))="x"</formula>
    </cfRule>
  </conditionalFormatting>
  <conditionalFormatting sqref="I492:K492">
    <cfRule type="endsWith" dxfId="1218" priority="1499" operator="endsWith" text="x">
      <formula>RIGHT(I492,LEN("x"))="x"</formula>
    </cfRule>
  </conditionalFormatting>
  <conditionalFormatting sqref="H463">
    <cfRule type="endsWith" dxfId="1217" priority="1534" operator="endsWith" text="x">
      <formula>RIGHT(H463,LEN("x"))="x"</formula>
    </cfRule>
  </conditionalFormatting>
  <conditionalFormatting sqref="H465">
    <cfRule type="endsWith" dxfId="1216" priority="1533" operator="endsWith" text="x">
      <formula>RIGHT(H465,LEN("x"))="x"</formula>
    </cfRule>
  </conditionalFormatting>
  <conditionalFormatting sqref="I465">
    <cfRule type="endsWith" dxfId="1215" priority="1532" operator="endsWith" text="x">
      <formula>RIGHT(I465,LEN("x"))="x"</formula>
    </cfRule>
  </conditionalFormatting>
  <conditionalFormatting sqref="J465">
    <cfRule type="endsWith" dxfId="1214" priority="1531" operator="endsWith" text="x">
      <formula>RIGHT(J465,LEN("x"))="x"</formula>
    </cfRule>
  </conditionalFormatting>
  <conditionalFormatting sqref="K465">
    <cfRule type="endsWith" dxfId="1213" priority="1530" operator="endsWith" text="x">
      <formula>RIGHT(K465,LEN("x"))="x"</formula>
    </cfRule>
  </conditionalFormatting>
  <conditionalFormatting sqref="I512:K512">
    <cfRule type="endsWith" dxfId="1212" priority="1480" operator="endsWith" text="x">
      <formula>RIGHT(I512,LEN("x"))="x"</formula>
    </cfRule>
  </conditionalFormatting>
  <conditionalFormatting sqref="H469">
    <cfRule type="endsWith" dxfId="1211" priority="1519" operator="endsWith" text="x">
      <formula>RIGHT(H469,LEN("x"))="x"</formula>
    </cfRule>
  </conditionalFormatting>
  <conditionalFormatting sqref="H471">
    <cfRule type="endsWith" dxfId="1210" priority="1518" operator="endsWith" text="x">
      <formula>RIGHT(H471,LEN("x"))="x"</formula>
    </cfRule>
  </conditionalFormatting>
  <conditionalFormatting sqref="I471">
    <cfRule type="endsWith" dxfId="1209" priority="1517" operator="endsWith" text="x">
      <formula>RIGHT(I471,LEN("x"))="x"</formula>
    </cfRule>
  </conditionalFormatting>
  <conditionalFormatting sqref="J471">
    <cfRule type="endsWith" dxfId="1208" priority="1516" operator="endsWith" text="x">
      <formula>RIGHT(J471,LEN("x"))="x"</formula>
    </cfRule>
  </conditionalFormatting>
  <conditionalFormatting sqref="K471">
    <cfRule type="endsWith" dxfId="1207" priority="1515" operator="endsWith" text="x">
      <formula>RIGHT(K471,LEN("x"))="x"</formula>
    </cfRule>
  </conditionalFormatting>
  <conditionalFormatting sqref="H515">
    <cfRule type="endsWith" dxfId="1206" priority="1469" operator="endsWith" text="x">
      <formula>RIGHT(H515,LEN("x"))="x"</formula>
    </cfRule>
  </conditionalFormatting>
  <conditionalFormatting sqref="I515">
    <cfRule type="endsWith" dxfId="1205" priority="1468" operator="endsWith" text="x">
      <formula>RIGHT(I515,LEN("x"))="x"</formula>
    </cfRule>
  </conditionalFormatting>
  <conditionalFormatting sqref="K515">
    <cfRule type="endsWith" dxfId="1204" priority="1466" operator="endsWith" text="x">
      <formula>RIGHT(K515,LEN("x"))="x"</formula>
    </cfRule>
  </conditionalFormatting>
  <conditionalFormatting sqref="I518:K518">
    <cfRule type="endsWith" dxfId="1203" priority="1465" operator="endsWith" text="x">
      <formula>RIGHT(I518,LEN("x"))="x"</formula>
    </cfRule>
  </conditionalFormatting>
  <conditionalFormatting sqref="H487">
    <cfRule type="endsWith" dxfId="1202" priority="1504" operator="endsWith" text="x">
      <formula>RIGHT(H487,LEN("x"))="x"</formula>
    </cfRule>
  </conditionalFormatting>
  <conditionalFormatting sqref="H489">
    <cfRule type="endsWith" dxfId="1201" priority="1503" operator="endsWith" text="x">
      <formula>RIGHT(H489,LEN("x"))="x"</formula>
    </cfRule>
  </conditionalFormatting>
  <conditionalFormatting sqref="I489">
    <cfRule type="endsWith" dxfId="1200" priority="1502" operator="endsWith" text="x">
      <formula>RIGHT(I489,LEN("x"))="x"</formula>
    </cfRule>
  </conditionalFormatting>
  <conditionalFormatting sqref="J489">
    <cfRule type="endsWith" dxfId="1199" priority="1501" operator="endsWith" text="x">
      <formula>RIGHT(J489,LEN("x"))="x"</formula>
    </cfRule>
  </conditionalFormatting>
  <conditionalFormatting sqref="K489">
    <cfRule type="endsWith" dxfId="1198" priority="1500" operator="endsWith" text="x">
      <formula>RIGHT(K489,LEN("x"))="x"</formula>
    </cfRule>
  </conditionalFormatting>
  <conditionalFormatting sqref="H521">
    <cfRule type="endsWith" dxfId="1197" priority="1454" operator="endsWith" text="x">
      <formula>RIGHT(H521,LEN("x"))="x"</formula>
    </cfRule>
  </conditionalFormatting>
  <conditionalFormatting sqref="I521">
    <cfRule type="endsWith" dxfId="1196" priority="1453" operator="endsWith" text="x">
      <formula>RIGHT(I521,LEN("x"))="x"</formula>
    </cfRule>
  </conditionalFormatting>
  <conditionalFormatting sqref="K521">
    <cfRule type="endsWith" dxfId="1195" priority="1451" operator="endsWith" text="x">
      <formula>RIGHT(K521,LEN("x"))="x"</formula>
    </cfRule>
  </conditionalFormatting>
  <conditionalFormatting sqref="I524:K524">
    <cfRule type="endsWith" dxfId="1194" priority="1450" operator="endsWith" text="x">
      <formula>RIGHT(I524,LEN("x"))="x"</formula>
    </cfRule>
  </conditionalFormatting>
  <conditionalFormatting sqref="H493">
    <cfRule type="endsWith" dxfId="1193" priority="1489" operator="endsWith" text="x">
      <formula>RIGHT(H493,LEN("x"))="x"</formula>
    </cfRule>
  </conditionalFormatting>
  <conditionalFormatting sqref="H495">
    <cfRule type="endsWith" dxfId="1192" priority="1488" operator="endsWith" text="x">
      <formula>RIGHT(H495,LEN("x"))="x"</formula>
    </cfRule>
  </conditionalFormatting>
  <conditionalFormatting sqref="I495">
    <cfRule type="endsWith" dxfId="1191" priority="1487" operator="endsWith" text="x">
      <formula>RIGHT(I495,LEN("x"))="x"</formula>
    </cfRule>
  </conditionalFormatting>
  <conditionalFormatting sqref="J495">
    <cfRule type="endsWith" dxfId="1190" priority="1486" operator="endsWith" text="x">
      <formula>RIGHT(J495,LEN("x"))="x"</formula>
    </cfRule>
  </conditionalFormatting>
  <conditionalFormatting sqref="K495">
    <cfRule type="endsWith" dxfId="1189" priority="1485" operator="endsWith" text="x">
      <formula>RIGHT(K495,LEN("x"))="x"</formula>
    </cfRule>
  </conditionalFormatting>
  <conditionalFormatting sqref="H533">
    <cfRule type="endsWith" dxfId="1188" priority="1424" operator="endsWith" text="x">
      <formula>RIGHT(H533,LEN("x"))="x"</formula>
    </cfRule>
  </conditionalFormatting>
  <conditionalFormatting sqref="I533">
    <cfRule type="endsWith" dxfId="1187" priority="1423" operator="endsWith" text="x">
      <formula>RIGHT(I533,LEN("x"))="x"</formula>
    </cfRule>
  </conditionalFormatting>
  <conditionalFormatting sqref="J527">
    <cfRule type="endsWith" dxfId="1186" priority="1437" operator="endsWith" text="x">
      <formula>RIGHT(J527,LEN("x"))="x"</formula>
    </cfRule>
  </conditionalFormatting>
  <conditionalFormatting sqref="K527">
    <cfRule type="endsWith" dxfId="1185" priority="1436" operator="endsWith" text="x">
      <formula>RIGHT(K527,LEN("x"))="x"</formula>
    </cfRule>
  </conditionalFormatting>
  <conditionalFormatting sqref="I530:K530">
    <cfRule type="endsWith" dxfId="1184" priority="1435" operator="endsWith" text="x">
      <formula>RIGHT(I530,LEN("x"))="x"</formula>
    </cfRule>
  </conditionalFormatting>
  <conditionalFormatting sqref="H513">
    <cfRule type="endsWith" dxfId="1183" priority="1470" operator="endsWith" text="x">
      <formula>RIGHT(H513,LEN("x"))="x"</formula>
    </cfRule>
  </conditionalFormatting>
  <conditionalFormatting sqref="J515">
    <cfRule type="endsWith" dxfId="1182" priority="1467" operator="endsWith" text="x">
      <formula>RIGHT(J515,LEN("x"))="x"</formula>
    </cfRule>
  </conditionalFormatting>
  <conditionalFormatting sqref="I536:K536">
    <cfRule type="endsWith" dxfId="1181" priority="1420" operator="endsWith" text="x">
      <formula>RIGHT(I536,LEN("x"))="x"</formula>
    </cfRule>
  </conditionalFormatting>
  <conditionalFormatting sqref="H519">
    <cfRule type="endsWith" dxfId="1180" priority="1455" operator="endsWith" text="x">
      <formula>RIGHT(H519,LEN("x"))="x"</formula>
    </cfRule>
  </conditionalFormatting>
  <conditionalFormatting sqref="J521">
    <cfRule type="endsWith" dxfId="1179" priority="1452" operator="endsWith" text="x">
      <formula>RIGHT(J521,LEN("x"))="x"</formula>
    </cfRule>
  </conditionalFormatting>
  <conditionalFormatting sqref="I552:K552">
    <cfRule type="endsWith" dxfId="1178" priority="1405" operator="endsWith" text="x">
      <formula>RIGHT(I552,LEN("x"))="x"</formula>
    </cfRule>
  </conditionalFormatting>
  <conditionalFormatting sqref="H525">
    <cfRule type="endsWith" dxfId="1177" priority="1440" operator="endsWith" text="x">
      <formula>RIGHT(H525,LEN("x"))="x"</formula>
    </cfRule>
  </conditionalFormatting>
  <conditionalFormatting sqref="H527">
    <cfRule type="endsWith" dxfId="1176" priority="1439" operator="endsWith" text="x">
      <formula>RIGHT(H527,LEN("x"))="x"</formula>
    </cfRule>
  </conditionalFormatting>
  <conditionalFormatting sqref="I527">
    <cfRule type="endsWith" dxfId="1175" priority="1438" operator="endsWith" text="x">
      <formula>RIGHT(I527,LEN("x"))="x"</formula>
    </cfRule>
  </conditionalFormatting>
  <conditionalFormatting sqref="I558:K558">
    <cfRule type="endsWith" dxfId="1174" priority="1390" operator="endsWith" text="x">
      <formula>RIGHT(I558,LEN("x"))="x"</formula>
    </cfRule>
  </conditionalFormatting>
  <conditionalFormatting sqref="H531">
    <cfRule type="endsWith" dxfId="1173" priority="1425" operator="endsWith" text="x">
      <formula>RIGHT(H531,LEN("x"))="x"</formula>
    </cfRule>
  </conditionalFormatting>
  <conditionalFormatting sqref="J533">
    <cfRule type="endsWith" dxfId="1172" priority="1422" operator="endsWith" text="x">
      <formula>RIGHT(J533,LEN("x"))="x"</formula>
    </cfRule>
  </conditionalFormatting>
  <conditionalFormatting sqref="K533">
    <cfRule type="endsWith" dxfId="1171" priority="1421" operator="endsWith" text="x">
      <formula>RIGHT(K533,LEN("x"))="x"</formula>
    </cfRule>
  </conditionalFormatting>
  <conditionalFormatting sqref="I566:K566">
    <cfRule type="endsWith" dxfId="1170" priority="1375" operator="endsWith" text="x">
      <formula>RIGHT(I566,LEN("x"))="x"</formula>
    </cfRule>
  </conditionalFormatting>
  <conditionalFormatting sqref="H537">
    <cfRule type="endsWith" dxfId="1169" priority="1410" operator="endsWith" text="x">
      <formula>RIGHT(H537,LEN("x"))="x"</formula>
    </cfRule>
  </conditionalFormatting>
  <conditionalFormatting sqref="H539">
    <cfRule type="endsWith" dxfId="1168" priority="1409" operator="endsWith" text="x">
      <formula>RIGHT(H539,LEN("x"))="x"</formula>
    </cfRule>
  </conditionalFormatting>
  <conditionalFormatting sqref="I539">
    <cfRule type="endsWith" dxfId="1167" priority="1408" operator="endsWith" text="x">
      <formula>RIGHT(I539,LEN("x"))="x"</formula>
    </cfRule>
  </conditionalFormatting>
  <conditionalFormatting sqref="J539">
    <cfRule type="endsWith" dxfId="1166" priority="1407" operator="endsWith" text="x">
      <formula>RIGHT(J539,LEN("x"))="x"</formula>
    </cfRule>
  </conditionalFormatting>
  <conditionalFormatting sqref="K539">
    <cfRule type="endsWith" dxfId="1165" priority="1406" operator="endsWith" text="x">
      <formula>RIGHT(K539,LEN("x"))="x"</formula>
    </cfRule>
  </conditionalFormatting>
  <conditionalFormatting sqref="I572:K572">
    <cfRule type="endsWith" dxfId="1164" priority="1360" operator="endsWith" text="x">
      <formula>RIGHT(I572,LEN("x"))="x"</formula>
    </cfRule>
  </conditionalFormatting>
  <conditionalFormatting sqref="K561">
    <cfRule type="endsWith" dxfId="1163" priority="1376" operator="endsWith" text="x">
      <formula>RIGHT(K561,LEN("x"))="x"</formula>
    </cfRule>
  </conditionalFormatting>
  <conditionalFormatting sqref="H559">
    <cfRule type="endsWith" dxfId="1162" priority="1380" operator="endsWith" text="x">
      <formula>RIGHT(H559,LEN("x"))="x"</formula>
    </cfRule>
  </conditionalFormatting>
  <conditionalFormatting sqref="H561">
    <cfRule type="endsWith" dxfId="1161" priority="1379" operator="endsWith" text="x">
      <formula>RIGHT(H561,LEN("x"))="x"</formula>
    </cfRule>
  </conditionalFormatting>
  <conditionalFormatting sqref="I561">
    <cfRule type="endsWith" dxfId="1160" priority="1378" operator="endsWith" text="x">
      <formula>RIGHT(I561,LEN("x"))="x"</formula>
    </cfRule>
  </conditionalFormatting>
  <conditionalFormatting sqref="J561">
    <cfRule type="endsWith" dxfId="1159" priority="1377" operator="endsWith" text="x">
      <formula>RIGHT(J561,LEN("x"))="x"</formula>
    </cfRule>
  </conditionalFormatting>
  <conditionalFormatting sqref="I578:K578">
    <cfRule type="endsWith" dxfId="1158" priority="1345" operator="endsWith" text="x">
      <formula>RIGHT(I578,LEN("x"))="x"</formula>
    </cfRule>
  </conditionalFormatting>
  <conditionalFormatting sqref="K569">
    <cfRule type="endsWith" dxfId="1157" priority="1361" operator="endsWith" text="x">
      <formula>RIGHT(K569,LEN("x"))="x"</formula>
    </cfRule>
  </conditionalFormatting>
  <conditionalFormatting sqref="H567">
    <cfRule type="endsWith" dxfId="1156" priority="1365" operator="endsWith" text="x">
      <formula>RIGHT(H567,LEN("x"))="x"</formula>
    </cfRule>
  </conditionalFormatting>
  <conditionalFormatting sqref="H569">
    <cfRule type="endsWith" dxfId="1155" priority="1364" operator="endsWith" text="x">
      <formula>RIGHT(H569,LEN("x"))="x"</formula>
    </cfRule>
  </conditionalFormatting>
  <conditionalFormatting sqref="I569">
    <cfRule type="endsWith" dxfId="1154" priority="1363" operator="endsWith" text="x">
      <formula>RIGHT(I569,LEN("x"))="x"</formula>
    </cfRule>
  </conditionalFormatting>
  <conditionalFormatting sqref="J569">
    <cfRule type="endsWith" dxfId="1153" priority="1362" operator="endsWith" text="x">
      <formula>RIGHT(J569,LEN("x"))="x"</formula>
    </cfRule>
  </conditionalFormatting>
  <conditionalFormatting sqref="I584:K584">
    <cfRule type="endsWith" dxfId="1152" priority="1330" operator="endsWith" text="x">
      <formula>RIGHT(I584,LEN("x"))="x"</formula>
    </cfRule>
  </conditionalFormatting>
  <conditionalFormatting sqref="K575">
    <cfRule type="endsWith" dxfId="1151" priority="1346" operator="endsWith" text="x">
      <formula>RIGHT(K575,LEN("x"))="x"</formula>
    </cfRule>
  </conditionalFormatting>
  <conditionalFormatting sqref="H573">
    <cfRule type="endsWith" dxfId="1150" priority="1350" operator="endsWith" text="x">
      <formula>RIGHT(H573,LEN("x"))="x"</formula>
    </cfRule>
  </conditionalFormatting>
  <conditionalFormatting sqref="H575">
    <cfRule type="endsWith" dxfId="1149" priority="1349" operator="endsWith" text="x">
      <formula>RIGHT(H575,LEN("x"))="x"</formula>
    </cfRule>
  </conditionalFormatting>
  <conditionalFormatting sqref="I575">
    <cfRule type="endsWith" dxfId="1148" priority="1348" operator="endsWith" text="x">
      <formula>RIGHT(I575,LEN("x"))="x"</formula>
    </cfRule>
  </conditionalFormatting>
  <conditionalFormatting sqref="J575">
    <cfRule type="endsWith" dxfId="1147" priority="1347" operator="endsWith" text="x">
      <formula>RIGHT(J575,LEN("x"))="x"</formula>
    </cfRule>
  </conditionalFormatting>
  <conditionalFormatting sqref="I590:K590">
    <cfRule type="endsWith" dxfId="1146" priority="1315" operator="endsWith" text="x">
      <formula>RIGHT(I590,LEN("x"))="x"</formula>
    </cfRule>
  </conditionalFormatting>
  <conditionalFormatting sqref="K581">
    <cfRule type="endsWith" dxfId="1145" priority="1331" operator="endsWith" text="x">
      <formula>RIGHT(K581,LEN("x"))="x"</formula>
    </cfRule>
  </conditionalFormatting>
  <conditionalFormatting sqref="K598">
    <cfRule type="endsWith" dxfId="1144" priority="1293" operator="endsWith" text="x">
      <formula>RIGHT(K598,LEN("x"))="x"</formula>
    </cfRule>
  </conditionalFormatting>
  <conditionalFormatting sqref="H579">
    <cfRule type="endsWith" dxfId="1143" priority="1335" operator="endsWith" text="x">
      <formula>RIGHT(H579,LEN("x"))="x"</formula>
    </cfRule>
  </conditionalFormatting>
  <conditionalFormatting sqref="H581">
    <cfRule type="endsWith" dxfId="1142" priority="1334" operator="endsWith" text="x">
      <formula>RIGHT(H581,LEN("x"))="x"</formula>
    </cfRule>
  </conditionalFormatting>
  <conditionalFormatting sqref="I581">
    <cfRule type="endsWith" dxfId="1141" priority="1333" operator="endsWith" text="x">
      <formula>RIGHT(I581,LEN("x"))="x"</formula>
    </cfRule>
  </conditionalFormatting>
  <conditionalFormatting sqref="J581">
    <cfRule type="endsWith" dxfId="1140" priority="1332" operator="endsWith" text="x">
      <formula>RIGHT(J581,LEN("x"))="x"</formula>
    </cfRule>
  </conditionalFormatting>
  <conditionalFormatting sqref="I596:K596 K598">
    <cfRule type="endsWith" dxfId="1139" priority="1300" operator="endsWith" text="x">
      <formula>RIGHT(I596,LEN("x"))="x"</formula>
    </cfRule>
  </conditionalFormatting>
  <conditionalFormatting sqref="K598">
    <cfRule type="endsWith" dxfId="1138" priority="1299" operator="endsWith" text="x">
      <formula>RIGHT(K598,LEN("x"))="x"</formula>
    </cfRule>
  </conditionalFormatting>
  <conditionalFormatting sqref="K598">
    <cfRule type="endsWith" dxfId="1137" priority="1296" operator="endsWith" text="x">
      <formula>RIGHT(K598,LEN("x"))="x"</formula>
    </cfRule>
  </conditionalFormatting>
  <conditionalFormatting sqref="K587">
    <cfRule type="endsWith" dxfId="1136" priority="1316" operator="endsWith" text="x">
      <formula>RIGHT(K587,LEN("x"))="x"</formula>
    </cfRule>
  </conditionalFormatting>
  <conditionalFormatting sqref="I606 K606">
    <cfRule type="endsWith" dxfId="1135" priority="1278" operator="endsWith" text="x">
      <formula>RIGHT(I606,LEN("x"))="x"</formula>
    </cfRule>
  </conditionalFormatting>
  <conditionalFormatting sqref="H585">
    <cfRule type="endsWith" dxfId="1134" priority="1320" operator="endsWith" text="x">
      <formula>RIGHT(H585,LEN("x"))="x"</formula>
    </cfRule>
  </conditionalFormatting>
  <conditionalFormatting sqref="H587">
    <cfRule type="endsWith" dxfId="1133" priority="1319" operator="endsWith" text="x">
      <formula>RIGHT(H587,LEN("x"))="x"</formula>
    </cfRule>
  </conditionalFormatting>
  <conditionalFormatting sqref="I587">
    <cfRule type="endsWith" dxfId="1132" priority="1318" operator="endsWith" text="x">
      <formula>RIGHT(I587,LEN("x"))="x"</formula>
    </cfRule>
  </conditionalFormatting>
  <conditionalFormatting sqref="J587">
    <cfRule type="endsWith" dxfId="1131" priority="1317" operator="endsWith" text="x">
      <formula>RIGHT(J587,LEN("x"))="x"</formula>
    </cfRule>
  </conditionalFormatting>
  <conditionalFormatting sqref="I604:K604 I606 K606">
    <cfRule type="endsWith" dxfId="1130" priority="1285" operator="endsWith" text="x">
      <formula>RIGHT(I604,LEN("x"))="x"</formula>
    </cfRule>
  </conditionalFormatting>
  <conditionalFormatting sqref="I606 K606">
    <cfRule type="endsWith" dxfId="1129" priority="1284" operator="endsWith" text="x">
      <formula>RIGHT(I606,LEN("x"))="x"</formula>
    </cfRule>
  </conditionalFormatting>
  <conditionalFormatting sqref="I606 K606">
    <cfRule type="endsWith" dxfId="1128" priority="1281" operator="endsWith" text="x">
      <formula>RIGHT(I606,LEN("x"))="x"</formula>
    </cfRule>
  </conditionalFormatting>
  <conditionalFormatting sqref="K593">
    <cfRule type="endsWith" dxfId="1127" priority="1301" operator="endsWith" text="x">
      <formula>RIGHT(K593,LEN("x"))="x"</formula>
    </cfRule>
  </conditionalFormatting>
  <conditionalFormatting sqref="H591">
    <cfRule type="endsWith" dxfId="1126" priority="1305" operator="endsWith" text="x">
      <formula>RIGHT(H591,LEN("x"))="x"</formula>
    </cfRule>
  </conditionalFormatting>
  <conditionalFormatting sqref="H593">
    <cfRule type="endsWith" dxfId="1125" priority="1304" operator="endsWith" text="x">
      <formula>RIGHT(H593,LEN("x"))="x"</formula>
    </cfRule>
  </conditionalFormatting>
  <conditionalFormatting sqref="I593">
    <cfRule type="endsWith" dxfId="1124" priority="1303" operator="endsWith" text="x">
      <formula>RIGHT(I593,LEN("x"))="x"</formula>
    </cfRule>
  </conditionalFormatting>
  <conditionalFormatting sqref="J593">
    <cfRule type="endsWith" dxfId="1123" priority="1302" operator="endsWith" text="x">
      <formula>RIGHT(J593,LEN("x"))="x"</formula>
    </cfRule>
  </conditionalFormatting>
  <conditionalFormatting sqref="I610:K610">
    <cfRule type="endsWith" dxfId="1122" priority="1270" operator="endsWith" text="x">
      <formula>RIGHT(I610,LEN("x"))="x"</formula>
    </cfRule>
  </conditionalFormatting>
  <conditionalFormatting sqref="K599">
    <cfRule type="endsWith" dxfId="1121" priority="1286" operator="endsWith" text="x">
      <formula>RIGHT(K599,LEN("x"))="x"</formula>
    </cfRule>
  </conditionalFormatting>
  <conditionalFormatting sqref="K598">
    <cfRule type="endsWith" dxfId="1120" priority="1292" operator="endsWith" text="x">
      <formula>RIGHT(K598,LEN("x"))="x"</formula>
    </cfRule>
  </conditionalFormatting>
  <conditionalFormatting sqref="H597">
    <cfRule type="endsWith" dxfId="1119" priority="1290" operator="endsWith" text="x">
      <formula>RIGHT(H597,LEN("x"))="x"</formula>
    </cfRule>
  </conditionalFormatting>
  <conditionalFormatting sqref="H599">
    <cfRule type="endsWith" dxfId="1118" priority="1289" operator="endsWith" text="x">
      <formula>RIGHT(H599,LEN("x"))="x"</formula>
    </cfRule>
  </conditionalFormatting>
  <conditionalFormatting sqref="I599">
    <cfRule type="endsWith" dxfId="1117" priority="1288" operator="endsWith" text="x">
      <formula>RIGHT(I599,LEN("x"))="x"</formula>
    </cfRule>
  </conditionalFormatting>
  <conditionalFormatting sqref="J599">
    <cfRule type="endsWith" dxfId="1116" priority="1287" operator="endsWith" text="x">
      <formula>RIGHT(J599,LEN("x"))="x"</formula>
    </cfRule>
  </conditionalFormatting>
  <conditionalFormatting sqref="K598">
    <cfRule type="endsWith" dxfId="1115" priority="1298" operator="endsWith" text="x">
      <formula>RIGHT(K598,LEN("x"))="x"</formula>
    </cfRule>
  </conditionalFormatting>
  <conditionalFormatting sqref="K598">
    <cfRule type="endsWith" dxfId="1114" priority="1295" operator="endsWith" text="x">
      <formula>RIGHT(K598,LEN("x"))="x"</formula>
    </cfRule>
  </conditionalFormatting>
  <conditionalFormatting sqref="K607">
    <cfRule type="endsWith" dxfId="1113" priority="1271" operator="endsWith" text="x">
      <formula>RIGHT(K607,LEN("x"))="x"</formula>
    </cfRule>
  </conditionalFormatting>
  <conditionalFormatting sqref="I606 K606">
    <cfRule type="endsWith" dxfId="1112" priority="1277" operator="endsWith" text="x">
      <formula>RIGHT(I606,LEN("x"))="x"</formula>
    </cfRule>
  </conditionalFormatting>
  <conditionalFormatting sqref="H605">
    <cfRule type="endsWith" dxfId="1111" priority="1275" operator="endsWith" text="x">
      <formula>RIGHT(H605,LEN("x"))="x"</formula>
    </cfRule>
  </conditionalFormatting>
  <conditionalFormatting sqref="H607">
    <cfRule type="endsWith" dxfId="1110" priority="1274" operator="endsWith" text="x">
      <formula>RIGHT(H607,LEN("x"))="x"</formula>
    </cfRule>
  </conditionalFormatting>
  <conditionalFormatting sqref="I607">
    <cfRule type="endsWith" dxfId="1109" priority="1273" operator="endsWith" text="x">
      <formula>RIGHT(I607,LEN("x"))="x"</formula>
    </cfRule>
  </conditionalFormatting>
  <conditionalFormatting sqref="J607">
    <cfRule type="endsWith" dxfId="1108" priority="1272" operator="endsWith" text="x">
      <formula>RIGHT(J607,LEN("x"))="x"</formula>
    </cfRule>
  </conditionalFormatting>
  <conditionalFormatting sqref="I606 K606">
    <cfRule type="endsWith" dxfId="1107" priority="1283" operator="endsWith" text="x">
      <formula>RIGHT(I606,LEN("x"))="x"</formula>
    </cfRule>
  </conditionalFormatting>
  <conditionalFormatting sqref="I606 K606">
    <cfRule type="endsWith" dxfId="1106" priority="1280" operator="endsWith" text="x">
      <formula>RIGHT(I606,LEN("x"))="x"</formula>
    </cfRule>
  </conditionalFormatting>
  <conditionalFormatting sqref="K613">
    <cfRule type="endsWith" dxfId="1105" priority="1256" operator="endsWith" text="x">
      <formula>RIGHT(K613,LEN("x"))="x"</formula>
    </cfRule>
  </conditionalFormatting>
  <conditionalFormatting sqref="H611">
    <cfRule type="endsWith" dxfId="1104" priority="1260" operator="endsWith" text="x">
      <formula>RIGHT(H611,LEN("x"))="x"</formula>
    </cfRule>
  </conditionalFormatting>
  <conditionalFormatting sqref="H613">
    <cfRule type="endsWith" dxfId="1103" priority="1259" operator="endsWith" text="x">
      <formula>RIGHT(H613,LEN("x"))="x"</formula>
    </cfRule>
  </conditionalFormatting>
  <conditionalFormatting sqref="I613">
    <cfRule type="endsWith" dxfId="1102" priority="1258" operator="endsWith" text="x">
      <formula>RIGHT(I613,LEN("x"))="x"</formula>
    </cfRule>
  </conditionalFormatting>
  <conditionalFormatting sqref="J613">
    <cfRule type="endsWith" dxfId="1101" priority="1257" operator="endsWith" text="x">
      <formula>RIGHT(J613,LEN("x"))="x"</formula>
    </cfRule>
  </conditionalFormatting>
  <conditionalFormatting sqref="I628:K628">
    <cfRule type="endsWith" dxfId="1100" priority="1225" operator="endsWith" text="x">
      <formula>RIGHT(I628,LEN("x"))="x"</formula>
    </cfRule>
  </conditionalFormatting>
  <conditionalFormatting sqref="K619">
    <cfRule type="endsWith" dxfId="1099" priority="1241" operator="endsWith" text="x">
      <formula>RIGHT(K619,LEN("x"))="x"</formula>
    </cfRule>
  </conditionalFormatting>
  <conditionalFormatting sqref="J636">
    <cfRule type="endsWith" dxfId="1098" priority="1203" operator="endsWith" text="x">
      <formula>RIGHT(J636,LEN("x"))="x"</formula>
    </cfRule>
  </conditionalFormatting>
  <conditionalFormatting sqref="H617">
    <cfRule type="endsWith" dxfId="1097" priority="1245" operator="endsWith" text="x">
      <formula>RIGHT(H617,LEN("x"))="x"</formula>
    </cfRule>
  </conditionalFormatting>
  <conditionalFormatting sqref="H619">
    <cfRule type="endsWith" dxfId="1096" priority="1244" operator="endsWith" text="x">
      <formula>RIGHT(H619,LEN("x"))="x"</formula>
    </cfRule>
  </conditionalFormatting>
  <conditionalFormatting sqref="I619">
    <cfRule type="endsWith" dxfId="1095" priority="1243" operator="endsWith" text="x">
      <formula>RIGHT(I619,LEN("x"))="x"</formula>
    </cfRule>
  </conditionalFormatting>
  <conditionalFormatting sqref="J619">
    <cfRule type="endsWith" dxfId="1094" priority="1242" operator="endsWith" text="x">
      <formula>RIGHT(J619,LEN("x"))="x"</formula>
    </cfRule>
  </conditionalFormatting>
  <conditionalFormatting sqref="I616:K616">
    <cfRule type="endsWith" dxfId="1093" priority="1255" operator="endsWith" text="x">
      <formula>RIGHT(I616,LEN("x"))="x"</formula>
    </cfRule>
  </conditionalFormatting>
  <conditionalFormatting sqref="I634:K634 J636">
    <cfRule type="endsWith" dxfId="1092" priority="1210" operator="endsWith" text="x">
      <formula>RIGHT(I634,LEN("x"))="x"</formula>
    </cfRule>
  </conditionalFormatting>
  <conditionalFormatting sqref="J636">
    <cfRule type="endsWith" dxfId="1091" priority="1209" operator="endsWith" text="x">
      <formula>RIGHT(J636,LEN("x"))="x"</formula>
    </cfRule>
  </conditionalFormatting>
  <conditionalFormatting sqref="J636">
    <cfRule type="endsWith" dxfId="1090" priority="1206" operator="endsWith" text="x">
      <formula>RIGHT(J636,LEN("x"))="x"</formula>
    </cfRule>
  </conditionalFormatting>
  <conditionalFormatting sqref="K625">
    <cfRule type="endsWith" dxfId="1089" priority="1226" operator="endsWith" text="x">
      <formula>RIGHT(K625,LEN("x"))="x"</formula>
    </cfRule>
  </conditionalFormatting>
  <conditionalFormatting sqref="H623">
    <cfRule type="endsWith" dxfId="1088" priority="1230" operator="endsWith" text="x">
      <formula>RIGHT(H623,LEN("x"))="x"</formula>
    </cfRule>
  </conditionalFormatting>
  <conditionalFormatting sqref="H625">
    <cfRule type="endsWith" dxfId="1087" priority="1229" operator="endsWith" text="x">
      <formula>RIGHT(H625,LEN("x"))="x"</formula>
    </cfRule>
  </conditionalFormatting>
  <conditionalFormatting sqref="I625">
    <cfRule type="endsWith" dxfId="1086" priority="1228" operator="endsWith" text="x">
      <formula>RIGHT(I625,LEN("x"))="x"</formula>
    </cfRule>
  </conditionalFormatting>
  <conditionalFormatting sqref="J625">
    <cfRule type="endsWith" dxfId="1085" priority="1227" operator="endsWith" text="x">
      <formula>RIGHT(J625,LEN("x"))="x"</formula>
    </cfRule>
  </conditionalFormatting>
  <conditionalFormatting sqref="I622:K622">
    <cfRule type="endsWith" dxfId="1084" priority="1240" operator="endsWith" text="x">
      <formula>RIGHT(I622,LEN("x"))="x"</formula>
    </cfRule>
  </conditionalFormatting>
  <conditionalFormatting sqref="I640:K640">
    <cfRule type="endsWith" dxfId="1083" priority="1195" operator="endsWith" text="x">
      <formula>RIGHT(I640,LEN("x"))="x"</formula>
    </cfRule>
  </conditionalFormatting>
  <conditionalFormatting sqref="K631">
    <cfRule type="endsWith" dxfId="1082" priority="1211" operator="endsWith" text="x">
      <formula>RIGHT(K631,LEN("x"))="x"</formula>
    </cfRule>
  </conditionalFormatting>
  <conditionalFormatting sqref="M77">
    <cfRule type="endsWith" dxfId="1081" priority="1173" operator="endsWith" text="x">
      <formula>RIGHT(M77,LEN("x"))="x"</formula>
    </cfRule>
  </conditionalFormatting>
  <conditionalFormatting sqref="H629">
    <cfRule type="endsWith" dxfId="1080" priority="1215" operator="endsWith" text="x">
      <formula>RIGHT(H629,LEN("x"))="x"</formula>
    </cfRule>
  </conditionalFormatting>
  <conditionalFormatting sqref="H631">
    <cfRule type="endsWith" dxfId="1079" priority="1214" operator="endsWith" text="x">
      <formula>RIGHT(H631,LEN("x"))="x"</formula>
    </cfRule>
  </conditionalFormatting>
  <conditionalFormatting sqref="I631">
    <cfRule type="endsWith" dxfId="1078" priority="1213" operator="endsWith" text="x">
      <formula>RIGHT(I631,LEN("x"))="x"</formula>
    </cfRule>
  </conditionalFormatting>
  <conditionalFormatting sqref="J631">
    <cfRule type="endsWith" dxfId="1077" priority="1212" operator="endsWith" text="x">
      <formula>RIGHT(J631,LEN("x"))="x"</formula>
    </cfRule>
  </conditionalFormatting>
  <conditionalFormatting sqref="C112">
    <cfRule type="endsWith" dxfId="1076" priority="1177" operator="endsWith" text="x">
      <formula>RIGHT(C112,LEN("x"))="x"</formula>
    </cfRule>
  </conditionalFormatting>
  <conditionalFormatting sqref="K637">
    <cfRule type="endsWith" dxfId="1075" priority="1196" operator="endsWith" text="x">
      <formula>RIGHT(K637,LEN("x"))="x"</formula>
    </cfRule>
  </conditionalFormatting>
  <conditionalFormatting sqref="J636">
    <cfRule type="endsWith" dxfId="1074" priority="1202" operator="endsWith" text="x">
      <formula>RIGHT(J636,LEN("x"))="x"</formula>
    </cfRule>
  </conditionalFormatting>
  <conditionalFormatting sqref="H635">
    <cfRule type="endsWith" dxfId="1073" priority="1200" operator="endsWith" text="x">
      <formula>RIGHT(H635,LEN("x"))="x"</formula>
    </cfRule>
  </conditionalFormatting>
  <conditionalFormatting sqref="H637">
    <cfRule type="endsWith" dxfId="1072" priority="1199" operator="endsWith" text="x">
      <formula>RIGHT(H637,LEN("x"))="x"</formula>
    </cfRule>
  </conditionalFormatting>
  <conditionalFormatting sqref="I637">
    <cfRule type="endsWith" dxfId="1071" priority="1198" operator="endsWith" text="x">
      <formula>RIGHT(I637,LEN("x"))="x"</formula>
    </cfRule>
  </conditionalFormatting>
  <conditionalFormatting sqref="J637">
    <cfRule type="endsWith" dxfId="1070" priority="1197" operator="endsWith" text="x">
      <formula>RIGHT(J637,LEN("x"))="x"</formula>
    </cfRule>
  </conditionalFormatting>
  <conditionalFormatting sqref="J636">
    <cfRule type="endsWith" dxfId="1069" priority="1208" operator="endsWith" text="x">
      <formula>RIGHT(J636,LEN("x"))="x"</formula>
    </cfRule>
  </conditionalFormatting>
  <conditionalFormatting sqref="J636">
    <cfRule type="endsWith" dxfId="1068" priority="1205" operator="endsWith" text="x">
      <formula>RIGHT(J636,LEN("x"))="x"</formula>
    </cfRule>
  </conditionalFormatting>
  <conditionalFormatting sqref="K643">
    <cfRule type="endsWith" dxfId="1067" priority="1181" operator="endsWith" text="x">
      <formula>RIGHT(K643,LEN("x"))="x"</formula>
    </cfRule>
  </conditionalFormatting>
  <conditionalFormatting sqref="H641">
    <cfRule type="endsWith" dxfId="1066" priority="1185" operator="endsWith" text="x">
      <formula>RIGHT(H641,LEN("x"))="x"</formula>
    </cfRule>
  </conditionalFormatting>
  <conditionalFormatting sqref="H643">
    <cfRule type="endsWith" dxfId="1065" priority="1184" operator="endsWith" text="x">
      <formula>RIGHT(H643,LEN("x"))="x"</formula>
    </cfRule>
  </conditionalFormatting>
  <conditionalFormatting sqref="I643">
    <cfRule type="endsWith" dxfId="1064" priority="1183" operator="endsWith" text="x">
      <formula>RIGHT(I643,LEN("x"))="x"</formula>
    </cfRule>
  </conditionalFormatting>
  <conditionalFormatting sqref="J643">
    <cfRule type="endsWith" dxfId="1063" priority="1182" operator="endsWith" text="x">
      <formula>RIGHT(J643,LEN("x"))="x"</formula>
    </cfRule>
  </conditionalFormatting>
  <conditionalFormatting sqref="B28:B30">
    <cfRule type="cellIs" dxfId="1062" priority="1178" operator="greaterThan">
      <formula>0</formula>
    </cfRule>
  </conditionalFormatting>
  <conditionalFormatting sqref="C112">
    <cfRule type="cellIs" dxfId="1061" priority="1176" operator="greaterThan">
      <formula>0</formula>
    </cfRule>
  </conditionalFormatting>
  <conditionalFormatting sqref="C120">
    <cfRule type="endsWith" dxfId="1060" priority="1175" operator="endsWith" text="x">
      <formula>RIGHT(C120,LEN("x"))="x"</formula>
    </cfRule>
  </conditionalFormatting>
  <conditionalFormatting sqref="C120">
    <cfRule type="cellIs" dxfId="1059" priority="1174" operator="greaterThan">
      <formula>0</formula>
    </cfRule>
  </conditionalFormatting>
  <conditionalFormatting sqref="M77">
    <cfRule type="cellIs" dxfId="1058" priority="1172" operator="greaterThan">
      <formula>0</formula>
    </cfRule>
  </conditionalFormatting>
  <conditionalFormatting sqref="M94">
    <cfRule type="endsWith" dxfId="1057" priority="1171" operator="endsWith" text="x">
      <formula>RIGHT(M94,LEN("x"))="x"</formula>
    </cfRule>
  </conditionalFormatting>
  <conditionalFormatting sqref="M94">
    <cfRule type="cellIs" dxfId="1056" priority="1170" operator="greaterThan">
      <formula>0</formula>
    </cfRule>
  </conditionalFormatting>
  <conditionalFormatting sqref="M106">
    <cfRule type="cellIs" dxfId="1055" priority="1169" operator="greaterThan">
      <formula>0</formula>
    </cfRule>
  </conditionalFormatting>
  <conditionalFormatting sqref="M116">
    <cfRule type="cellIs" dxfId="1054" priority="1168" operator="greaterThan">
      <formula>0</formula>
    </cfRule>
  </conditionalFormatting>
  <conditionalFormatting sqref="C141:C197">
    <cfRule type="cellIs" dxfId="1053" priority="1167" operator="greaterThan">
      <formula>0</formula>
    </cfRule>
  </conditionalFormatting>
  <conditionalFormatting sqref="E141:E197">
    <cfRule type="cellIs" dxfId="1052" priority="1166" operator="greaterThan">
      <formula>0</formula>
    </cfRule>
  </conditionalFormatting>
  <conditionalFormatting sqref="I203">
    <cfRule type="cellIs" dxfId="1051" priority="1160" operator="greaterThan">
      <formula>0</formula>
    </cfRule>
  </conditionalFormatting>
  <conditionalFormatting sqref="N141:N146">
    <cfRule type="endsWith" dxfId="1050" priority="1122" operator="endsWith" text="x">
      <formula>RIGHT(N141,LEN("x"))="x"</formula>
    </cfRule>
  </conditionalFormatting>
  <conditionalFormatting sqref="N141:N146">
    <cfRule type="cellIs" dxfId="1049" priority="1121" operator="greaterThan">
      <formula>0</formula>
    </cfRule>
  </conditionalFormatting>
  <conditionalFormatting sqref="F142">
    <cfRule type="endsWith" dxfId="1048" priority="1120" operator="endsWith" text="x">
      <formula>RIGHT(F142,LEN("x"))="x"</formula>
    </cfRule>
  </conditionalFormatting>
  <conditionalFormatting sqref="F142">
    <cfRule type="cellIs" dxfId="1047" priority="1119" operator="greaterThan">
      <formula>0</formula>
    </cfRule>
  </conditionalFormatting>
  <conditionalFormatting sqref="J141:J197">
    <cfRule type="endsWith" dxfId="1046" priority="1118" operator="endsWith" text="x">
      <formula>RIGHT(J141,LEN("x"))="x"</formula>
    </cfRule>
  </conditionalFormatting>
  <conditionalFormatting sqref="J141:J197">
    <cfRule type="cellIs" dxfId="1045" priority="1117" operator="greaterThan">
      <formula>0</formula>
    </cfRule>
  </conditionalFormatting>
  <conditionalFormatting sqref="J203">
    <cfRule type="endsWith" dxfId="1044" priority="1116" operator="endsWith" text="x">
      <formula>RIGHT(J203,LEN("x"))="x"</formula>
    </cfRule>
  </conditionalFormatting>
  <conditionalFormatting sqref="J203">
    <cfRule type="cellIs" dxfId="1043" priority="1115" operator="greaterThan">
      <formula>0</formula>
    </cfRule>
  </conditionalFormatting>
  <conditionalFormatting sqref="K203">
    <cfRule type="endsWith" dxfId="1042" priority="1114" operator="endsWith" text="x">
      <formula>RIGHT(K203,LEN("x"))="x"</formula>
    </cfRule>
  </conditionalFormatting>
  <conditionalFormatting sqref="K203">
    <cfRule type="cellIs" dxfId="1041" priority="1113" operator="greaterThan">
      <formula>0</formula>
    </cfRule>
  </conditionalFormatting>
  <conditionalFormatting sqref="I217">
    <cfRule type="endsWith" dxfId="1040" priority="1112" operator="endsWith" text="x">
      <formula>RIGHT(I217,LEN("x"))="x"</formula>
    </cfRule>
  </conditionalFormatting>
  <conditionalFormatting sqref="I217">
    <cfRule type="cellIs" dxfId="1039" priority="1111" operator="greaterThan">
      <formula>0</formula>
    </cfRule>
  </conditionalFormatting>
  <conditionalFormatting sqref="J217">
    <cfRule type="endsWith" dxfId="1038" priority="1110" operator="endsWith" text="x">
      <formula>RIGHT(J217,LEN("x"))="x"</formula>
    </cfRule>
  </conditionalFormatting>
  <conditionalFormatting sqref="J217">
    <cfRule type="cellIs" dxfId="1037" priority="1109" operator="greaterThan">
      <formula>0</formula>
    </cfRule>
  </conditionalFormatting>
  <conditionalFormatting sqref="K217">
    <cfRule type="endsWith" dxfId="1036" priority="1108" operator="endsWith" text="x">
      <formula>RIGHT(K217,LEN("x"))="x"</formula>
    </cfRule>
  </conditionalFormatting>
  <conditionalFormatting sqref="K217">
    <cfRule type="cellIs" dxfId="1035" priority="1107" operator="greaterThan">
      <formula>0</formula>
    </cfRule>
  </conditionalFormatting>
  <conditionalFormatting sqref="I225">
    <cfRule type="endsWith" dxfId="1034" priority="1106" operator="endsWith" text="x">
      <formula>RIGHT(I225,LEN("x"))="x"</formula>
    </cfRule>
  </conditionalFormatting>
  <conditionalFormatting sqref="I225">
    <cfRule type="cellIs" dxfId="1033" priority="1105" operator="greaterThan">
      <formula>0</formula>
    </cfRule>
  </conditionalFormatting>
  <conditionalFormatting sqref="J225">
    <cfRule type="endsWith" dxfId="1032" priority="1104" operator="endsWith" text="x">
      <formula>RIGHT(J225,LEN("x"))="x"</formula>
    </cfRule>
  </conditionalFormatting>
  <conditionalFormatting sqref="J225">
    <cfRule type="cellIs" dxfId="1031" priority="1103" operator="greaterThan">
      <formula>0</formula>
    </cfRule>
  </conditionalFormatting>
  <conditionalFormatting sqref="K225">
    <cfRule type="endsWith" dxfId="1030" priority="1102" operator="endsWith" text="x">
      <formula>RIGHT(K225,LEN("x"))="x"</formula>
    </cfRule>
  </conditionalFormatting>
  <conditionalFormatting sqref="K225">
    <cfRule type="cellIs" dxfId="1029" priority="1101" operator="greaterThan">
      <formula>0</formula>
    </cfRule>
  </conditionalFormatting>
  <conditionalFormatting sqref="I239">
    <cfRule type="endsWith" dxfId="1028" priority="1100" operator="endsWith" text="x">
      <formula>RIGHT(I239,LEN("x"))="x"</formula>
    </cfRule>
  </conditionalFormatting>
  <conditionalFormatting sqref="I239">
    <cfRule type="cellIs" dxfId="1027" priority="1099" operator="greaterThan">
      <formula>0</formula>
    </cfRule>
  </conditionalFormatting>
  <conditionalFormatting sqref="J239">
    <cfRule type="endsWith" dxfId="1026" priority="1098" operator="endsWith" text="x">
      <formula>RIGHT(J239,LEN("x"))="x"</formula>
    </cfRule>
  </conditionalFormatting>
  <conditionalFormatting sqref="J239">
    <cfRule type="cellIs" dxfId="1025" priority="1097" operator="greaterThan">
      <formula>0</formula>
    </cfRule>
  </conditionalFormatting>
  <conditionalFormatting sqref="K239">
    <cfRule type="endsWith" dxfId="1024" priority="1096" operator="endsWith" text="x">
      <formula>RIGHT(K239,LEN("x"))="x"</formula>
    </cfRule>
  </conditionalFormatting>
  <conditionalFormatting sqref="K239">
    <cfRule type="cellIs" dxfId="1023" priority="1095" operator="greaterThan">
      <formula>0</formula>
    </cfRule>
  </conditionalFormatting>
  <conditionalFormatting sqref="I253">
    <cfRule type="endsWith" dxfId="1022" priority="1094" operator="endsWith" text="x">
      <formula>RIGHT(I253,LEN("x"))="x"</formula>
    </cfRule>
  </conditionalFormatting>
  <conditionalFormatting sqref="I253">
    <cfRule type="cellIs" dxfId="1021" priority="1093" operator="greaterThan">
      <formula>0</formula>
    </cfRule>
  </conditionalFormatting>
  <conditionalFormatting sqref="J253">
    <cfRule type="endsWith" dxfId="1020" priority="1092" operator="endsWith" text="x">
      <formula>RIGHT(J253,LEN("x"))="x"</formula>
    </cfRule>
  </conditionalFormatting>
  <conditionalFormatting sqref="J253">
    <cfRule type="cellIs" dxfId="1019" priority="1091" operator="greaterThan">
      <formula>0</formula>
    </cfRule>
  </conditionalFormatting>
  <conditionalFormatting sqref="K253">
    <cfRule type="endsWith" dxfId="1018" priority="1090" operator="endsWith" text="x">
      <formula>RIGHT(K253,LEN("x"))="x"</formula>
    </cfRule>
  </conditionalFormatting>
  <conditionalFormatting sqref="K253">
    <cfRule type="cellIs" dxfId="1017" priority="1089" operator="greaterThan">
      <formula>0</formula>
    </cfRule>
  </conditionalFormatting>
  <conditionalFormatting sqref="I267">
    <cfRule type="endsWith" dxfId="1016" priority="1088" operator="endsWith" text="x">
      <formula>RIGHT(I267,LEN("x"))="x"</formula>
    </cfRule>
  </conditionalFormatting>
  <conditionalFormatting sqref="I267">
    <cfRule type="cellIs" dxfId="1015" priority="1087" operator="greaterThan">
      <formula>0</formula>
    </cfRule>
  </conditionalFormatting>
  <conditionalFormatting sqref="J267">
    <cfRule type="endsWith" dxfId="1014" priority="1086" operator="endsWith" text="x">
      <formula>RIGHT(J267,LEN("x"))="x"</formula>
    </cfRule>
  </conditionalFormatting>
  <conditionalFormatting sqref="J267">
    <cfRule type="cellIs" dxfId="1013" priority="1085" operator="greaterThan">
      <formula>0</formula>
    </cfRule>
  </conditionalFormatting>
  <conditionalFormatting sqref="K267">
    <cfRule type="endsWith" dxfId="1012" priority="1084" operator="endsWith" text="x">
      <formula>RIGHT(K267,LEN("x"))="x"</formula>
    </cfRule>
  </conditionalFormatting>
  <conditionalFormatting sqref="K267">
    <cfRule type="cellIs" dxfId="1011" priority="1083" operator="greaterThan">
      <formula>0</formula>
    </cfRule>
  </conditionalFormatting>
  <conditionalFormatting sqref="I275">
    <cfRule type="endsWith" dxfId="1010" priority="1082" operator="endsWith" text="x">
      <formula>RIGHT(I275,LEN("x"))="x"</formula>
    </cfRule>
  </conditionalFormatting>
  <conditionalFormatting sqref="I275">
    <cfRule type="cellIs" dxfId="1009" priority="1081" operator="greaterThan">
      <formula>0</formula>
    </cfRule>
  </conditionalFormatting>
  <conditionalFormatting sqref="J275">
    <cfRule type="endsWith" dxfId="1008" priority="1080" operator="endsWith" text="x">
      <formula>RIGHT(J275,LEN("x"))="x"</formula>
    </cfRule>
  </conditionalFormatting>
  <conditionalFormatting sqref="J275">
    <cfRule type="cellIs" dxfId="1007" priority="1079" operator="greaterThan">
      <formula>0</formula>
    </cfRule>
  </conditionalFormatting>
  <conditionalFormatting sqref="K275">
    <cfRule type="endsWith" dxfId="1006" priority="1078" operator="endsWith" text="x">
      <formula>RIGHT(K275,LEN("x"))="x"</formula>
    </cfRule>
  </conditionalFormatting>
  <conditionalFormatting sqref="K275">
    <cfRule type="cellIs" dxfId="1005" priority="1077" operator="greaterThan">
      <formula>0</formula>
    </cfRule>
  </conditionalFormatting>
  <conditionalFormatting sqref="I283">
    <cfRule type="endsWith" dxfId="1004" priority="1076" operator="endsWith" text="x">
      <formula>RIGHT(I283,LEN("x"))="x"</formula>
    </cfRule>
  </conditionalFormatting>
  <conditionalFormatting sqref="I283">
    <cfRule type="cellIs" dxfId="1003" priority="1075" operator="greaterThan">
      <formula>0</formula>
    </cfRule>
  </conditionalFormatting>
  <conditionalFormatting sqref="J283">
    <cfRule type="endsWith" dxfId="1002" priority="1074" operator="endsWith" text="x">
      <formula>RIGHT(J283,LEN("x"))="x"</formula>
    </cfRule>
  </conditionalFormatting>
  <conditionalFormatting sqref="J283">
    <cfRule type="cellIs" dxfId="1001" priority="1073" operator="greaterThan">
      <formula>0</formula>
    </cfRule>
  </conditionalFormatting>
  <conditionalFormatting sqref="K283">
    <cfRule type="endsWith" dxfId="1000" priority="1072" operator="endsWith" text="x">
      <formula>RIGHT(K283,LEN("x"))="x"</formula>
    </cfRule>
  </conditionalFormatting>
  <conditionalFormatting sqref="K283">
    <cfRule type="cellIs" dxfId="999" priority="1071" operator="greaterThan">
      <formula>0</formula>
    </cfRule>
  </conditionalFormatting>
  <conditionalFormatting sqref="I297">
    <cfRule type="endsWith" dxfId="998" priority="1070" operator="endsWith" text="x">
      <formula>RIGHT(I297,LEN("x"))="x"</formula>
    </cfRule>
  </conditionalFormatting>
  <conditionalFormatting sqref="I297">
    <cfRule type="cellIs" dxfId="997" priority="1069" operator="greaterThan">
      <formula>0</formula>
    </cfRule>
  </conditionalFormatting>
  <conditionalFormatting sqref="J297">
    <cfRule type="endsWith" dxfId="996" priority="1068" operator="endsWith" text="x">
      <formula>RIGHT(J297,LEN("x"))="x"</formula>
    </cfRule>
  </conditionalFormatting>
  <conditionalFormatting sqref="J297">
    <cfRule type="cellIs" dxfId="995" priority="1067" operator="greaterThan">
      <formula>0</formula>
    </cfRule>
  </conditionalFormatting>
  <conditionalFormatting sqref="K297">
    <cfRule type="endsWith" dxfId="994" priority="1066" operator="endsWith" text="x">
      <formula>RIGHT(K297,LEN("x"))="x"</formula>
    </cfRule>
  </conditionalFormatting>
  <conditionalFormatting sqref="K297">
    <cfRule type="cellIs" dxfId="993" priority="1065" operator="greaterThan">
      <formula>0</formula>
    </cfRule>
  </conditionalFormatting>
  <conditionalFormatting sqref="I305">
    <cfRule type="endsWith" dxfId="992" priority="1064" operator="endsWith" text="x">
      <formula>RIGHT(I305,LEN("x"))="x"</formula>
    </cfRule>
  </conditionalFormatting>
  <conditionalFormatting sqref="I305">
    <cfRule type="cellIs" dxfId="991" priority="1063" operator="greaterThan">
      <formula>0</formula>
    </cfRule>
  </conditionalFormatting>
  <conditionalFormatting sqref="J305">
    <cfRule type="endsWith" dxfId="990" priority="1062" operator="endsWith" text="x">
      <formula>RIGHT(J305,LEN("x"))="x"</formula>
    </cfRule>
  </conditionalFormatting>
  <conditionalFormatting sqref="J305">
    <cfRule type="cellIs" dxfId="989" priority="1061" operator="greaterThan">
      <formula>0</formula>
    </cfRule>
  </conditionalFormatting>
  <conditionalFormatting sqref="K305">
    <cfRule type="endsWith" dxfId="988" priority="1060" operator="endsWith" text="x">
      <formula>RIGHT(K305,LEN("x"))="x"</formula>
    </cfRule>
  </conditionalFormatting>
  <conditionalFormatting sqref="K305">
    <cfRule type="cellIs" dxfId="987" priority="1059" operator="greaterThan">
      <formula>0</formula>
    </cfRule>
  </conditionalFormatting>
  <conditionalFormatting sqref="I313">
    <cfRule type="endsWith" dxfId="986" priority="1058" operator="endsWith" text="x">
      <formula>RIGHT(I313,LEN("x"))="x"</formula>
    </cfRule>
  </conditionalFormatting>
  <conditionalFormatting sqref="I313">
    <cfRule type="cellIs" dxfId="985" priority="1057" operator="greaterThan">
      <formula>0</formula>
    </cfRule>
  </conditionalFormatting>
  <conditionalFormatting sqref="J313">
    <cfRule type="endsWith" dxfId="984" priority="1056" operator="endsWith" text="x">
      <formula>RIGHT(J313,LEN("x"))="x"</formula>
    </cfRule>
  </conditionalFormatting>
  <conditionalFormatting sqref="J313">
    <cfRule type="cellIs" dxfId="983" priority="1055" operator="greaterThan">
      <formula>0</formula>
    </cfRule>
  </conditionalFormatting>
  <conditionalFormatting sqref="K313">
    <cfRule type="endsWith" dxfId="982" priority="1054" operator="endsWith" text="x">
      <formula>RIGHT(K313,LEN("x"))="x"</formula>
    </cfRule>
  </conditionalFormatting>
  <conditionalFormatting sqref="K313">
    <cfRule type="cellIs" dxfId="981" priority="1053" operator="greaterThan">
      <formula>0</formula>
    </cfRule>
  </conditionalFormatting>
  <conditionalFormatting sqref="I321">
    <cfRule type="endsWith" dxfId="980" priority="1052" operator="endsWith" text="x">
      <formula>RIGHT(I321,LEN("x"))="x"</formula>
    </cfRule>
  </conditionalFormatting>
  <conditionalFormatting sqref="I321">
    <cfRule type="cellIs" dxfId="979" priority="1051" operator="greaterThan">
      <formula>0</formula>
    </cfRule>
  </conditionalFormatting>
  <conditionalFormatting sqref="J321">
    <cfRule type="endsWith" dxfId="978" priority="1050" operator="endsWith" text="x">
      <formula>RIGHT(J321,LEN("x"))="x"</formula>
    </cfRule>
  </conditionalFormatting>
  <conditionalFormatting sqref="J321">
    <cfRule type="cellIs" dxfId="977" priority="1049" operator="greaterThan">
      <formula>0</formula>
    </cfRule>
  </conditionalFormatting>
  <conditionalFormatting sqref="K321">
    <cfRule type="endsWith" dxfId="976" priority="1048" operator="endsWith" text="x">
      <formula>RIGHT(K321,LEN("x"))="x"</formula>
    </cfRule>
  </conditionalFormatting>
  <conditionalFormatting sqref="K321">
    <cfRule type="cellIs" dxfId="975" priority="1047" operator="greaterThan">
      <formula>0</formula>
    </cfRule>
  </conditionalFormatting>
  <conditionalFormatting sqref="I329">
    <cfRule type="endsWith" dxfId="974" priority="1046" operator="endsWith" text="x">
      <formula>RIGHT(I329,LEN("x"))="x"</formula>
    </cfRule>
  </conditionalFormatting>
  <conditionalFormatting sqref="I329">
    <cfRule type="cellIs" dxfId="973" priority="1045" operator="greaterThan">
      <formula>0</formula>
    </cfRule>
  </conditionalFormatting>
  <conditionalFormatting sqref="J329">
    <cfRule type="endsWith" dxfId="972" priority="1044" operator="endsWith" text="x">
      <formula>RIGHT(J329,LEN("x"))="x"</formula>
    </cfRule>
  </conditionalFormatting>
  <conditionalFormatting sqref="J329">
    <cfRule type="cellIs" dxfId="971" priority="1043" operator="greaterThan">
      <formula>0</formula>
    </cfRule>
  </conditionalFormatting>
  <conditionalFormatting sqref="K329">
    <cfRule type="endsWith" dxfId="970" priority="1042" operator="endsWith" text="x">
      <formula>RIGHT(K329,LEN("x"))="x"</formula>
    </cfRule>
  </conditionalFormatting>
  <conditionalFormatting sqref="K329">
    <cfRule type="cellIs" dxfId="969" priority="1041" operator="greaterThan">
      <formula>0</formula>
    </cfRule>
  </conditionalFormatting>
  <conditionalFormatting sqref="I337">
    <cfRule type="endsWith" dxfId="968" priority="1040" operator="endsWith" text="x">
      <formula>RIGHT(I337,LEN("x"))="x"</formula>
    </cfRule>
  </conditionalFormatting>
  <conditionalFormatting sqref="I337">
    <cfRule type="cellIs" dxfId="967" priority="1039" operator="greaterThan">
      <formula>0</formula>
    </cfRule>
  </conditionalFormatting>
  <conditionalFormatting sqref="J337">
    <cfRule type="endsWith" dxfId="966" priority="1038" operator="endsWith" text="x">
      <formula>RIGHT(J337,LEN("x"))="x"</formula>
    </cfRule>
  </conditionalFormatting>
  <conditionalFormatting sqref="J337">
    <cfRule type="cellIs" dxfId="965" priority="1037" operator="greaterThan">
      <formula>0</formula>
    </cfRule>
  </conditionalFormatting>
  <conditionalFormatting sqref="K337">
    <cfRule type="endsWith" dxfId="964" priority="1036" operator="endsWith" text="x">
      <formula>RIGHT(K337,LEN("x"))="x"</formula>
    </cfRule>
  </conditionalFormatting>
  <conditionalFormatting sqref="K337">
    <cfRule type="cellIs" dxfId="963" priority="1035" operator="greaterThan">
      <formula>0</formula>
    </cfRule>
  </conditionalFormatting>
  <conditionalFormatting sqref="I345">
    <cfRule type="endsWith" dxfId="962" priority="1034" operator="endsWith" text="x">
      <formula>RIGHT(I345,LEN("x"))="x"</formula>
    </cfRule>
  </conditionalFormatting>
  <conditionalFormatting sqref="I345">
    <cfRule type="cellIs" dxfId="961" priority="1033" operator="greaterThan">
      <formula>0</formula>
    </cfRule>
  </conditionalFormatting>
  <conditionalFormatting sqref="J345">
    <cfRule type="endsWith" dxfId="960" priority="1032" operator="endsWith" text="x">
      <formula>RIGHT(J345,LEN("x"))="x"</formula>
    </cfRule>
  </conditionalFormatting>
  <conditionalFormatting sqref="J345">
    <cfRule type="cellIs" dxfId="959" priority="1031" operator="greaterThan">
      <formula>0</formula>
    </cfRule>
  </conditionalFormatting>
  <conditionalFormatting sqref="K345">
    <cfRule type="endsWith" dxfId="958" priority="1030" operator="endsWith" text="x">
      <formula>RIGHT(K345,LEN("x"))="x"</formula>
    </cfRule>
  </conditionalFormatting>
  <conditionalFormatting sqref="K345">
    <cfRule type="cellIs" dxfId="957" priority="1029" operator="greaterThan">
      <formula>0</formula>
    </cfRule>
  </conditionalFormatting>
  <conditionalFormatting sqref="I353">
    <cfRule type="endsWith" dxfId="956" priority="1028" operator="endsWith" text="x">
      <formula>RIGHT(I353,LEN("x"))="x"</formula>
    </cfRule>
  </conditionalFormatting>
  <conditionalFormatting sqref="I353">
    <cfRule type="cellIs" dxfId="955" priority="1027" operator="greaterThan">
      <formula>0</formula>
    </cfRule>
  </conditionalFormatting>
  <conditionalFormatting sqref="J353">
    <cfRule type="endsWith" dxfId="954" priority="1026" operator="endsWith" text="x">
      <formula>RIGHT(J353,LEN("x"))="x"</formula>
    </cfRule>
  </conditionalFormatting>
  <conditionalFormatting sqref="J353">
    <cfRule type="cellIs" dxfId="953" priority="1025" operator="greaterThan">
      <formula>0</formula>
    </cfRule>
  </conditionalFormatting>
  <conditionalFormatting sqref="K353">
    <cfRule type="endsWith" dxfId="952" priority="1024" operator="endsWith" text="x">
      <formula>RIGHT(K353,LEN("x"))="x"</formula>
    </cfRule>
  </conditionalFormatting>
  <conditionalFormatting sqref="K353">
    <cfRule type="cellIs" dxfId="951" priority="1023" operator="greaterThan">
      <formula>0</formula>
    </cfRule>
  </conditionalFormatting>
  <conditionalFormatting sqref="I361">
    <cfRule type="endsWith" dxfId="950" priority="1022" operator="endsWith" text="x">
      <formula>RIGHT(I361,LEN("x"))="x"</formula>
    </cfRule>
  </conditionalFormatting>
  <conditionalFormatting sqref="I361">
    <cfRule type="cellIs" dxfId="949" priority="1021" operator="greaterThan">
      <formula>0</formula>
    </cfRule>
  </conditionalFormatting>
  <conditionalFormatting sqref="J361">
    <cfRule type="endsWith" dxfId="948" priority="1020" operator="endsWith" text="x">
      <formula>RIGHT(J361,LEN("x"))="x"</formula>
    </cfRule>
  </conditionalFormatting>
  <conditionalFormatting sqref="J361">
    <cfRule type="cellIs" dxfId="947" priority="1019" operator="greaterThan">
      <formula>0</formula>
    </cfRule>
  </conditionalFormatting>
  <conditionalFormatting sqref="K361">
    <cfRule type="endsWith" dxfId="946" priority="1018" operator="endsWith" text="x">
      <formula>RIGHT(K361,LEN("x"))="x"</formula>
    </cfRule>
  </conditionalFormatting>
  <conditionalFormatting sqref="K361">
    <cfRule type="cellIs" dxfId="945" priority="1017" operator="greaterThan">
      <formula>0</formula>
    </cfRule>
  </conditionalFormatting>
  <conditionalFormatting sqref="I369">
    <cfRule type="endsWith" dxfId="944" priority="1016" operator="endsWith" text="x">
      <formula>RIGHT(I369,LEN("x"))="x"</formula>
    </cfRule>
  </conditionalFormatting>
  <conditionalFormatting sqref="I369">
    <cfRule type="cellIs" dxfId="943" priority="1015" operator="greaterThan">
      <formula>0</formula>
    </cfRule>
  </conditionalFormatting>
  <conditionalFormatting sqref="J369">
    <cfRule type="endsWith" dxfId="942" priority="1014" operator="endsWith" text="x">
      <formula>RIGHT(J369,LEN("x"))="x"</formula>
    </cfRule>
  </conditionalFormatting>
  <conditionalFormatting sqref="J369">
    <cfRule type="cellIs" dxfId="941" priority="1013" operator="greaterThan">
      <formula>0</formula>
    </cfRule>
  </conditionalFormatting>
  <conditionalFormatting sqref="K369">
    <cfRule type="endsWith" dxfId="940" priority="1012" operator="endsWith" text="x">
      <formula>RIGHT(K369,LEN("x"))="x"</formula>
    </cfRule>
  </conditionalFormatting>
  <conditionalFormatting sqref="K369">
    <cfRule type="cellIs" dxfId="939" priority="1011" operator="greaterThan">
      <formula>0</formula>
    </cfRule>
  </conditionalFormatting>
  <conditionalFormatting sqref="I377">
    <cfRule type="endsWith" dxfId="938" priority="1010" operator="endsWith" text="x">
      <formula>RIGHT(I377,LEN("x"))="x"</formula>
    </cfRule>
  </conditionalFormatting>
  <conditionalFormatting sqref="I377">
    <cfRule type="cellIs" dxfId="937" priority="1009" operator="greaterThan">
      <formula>0</formula>
    </cfRule>
  </conditionalFormatting>
  <conditionalFormatting sqref="J377">
    <cfRule type="endsWith" dxfId="936" priority="1008" operator="endsWith" text="x">
      <formula>RIGHT(J377,LEN("x"))="x"</formula>
    </cfRule>
  </conditionalFormatting>
  <conditionalFormatting sqref="J377">
    <cfRule type="cellIs" dxfId="935" priority="1007" operator="greaterThan">
      <formula>0</formula>
    </cfRule>
  </conditionalFormatting>
  <conditionalFormatting sqref="K377">
    <cfRule type="endsWith" dxfId="934" priority="1006" operator="endsWith" text="x">
      <formula>RIGHT(K377,LEN("x"))="x"</formula>
    </cfRule>
  </conditionalFormatting>
  <conditionalFormatting sqref="K377">
    <cfRule type="cellIs" dxfId="933" priority="1005" operator="greaterThan">
      <formula>0</formula>
    </cfRule>
  </conditionalFormatting>
  <conditionalFormatting sqref="I393">
    <cfRule type="endsWith" dxfId="932" priority="1004" operator="endsWith" text="x">
      <formula>RIGHT(I393,LEN("x"))="x"</formula>
    </cfRule>
  </conditionalFormatting>
  <conditionalFormatting sqref="I393">
    <cfRule type="cellIs" dxfId="931" priority="1003" operator="greaterThan">
      <formula>0</formula>
    </cfRule>
  </conditionalFormatting>
  <conditionalFormatting sqref="J393">
    <cfRule type="endsWith" dxfId="930" priority="1002" operator="endsWith" text="x">
      <formula>RIGHT(J393,LEN("x"))="x"</formula>
    </cfRule>
  </conditionalFormatting>
  <conditionalFormatting sqref="J393">
    <cfRule type="cellIs" dxfId="929" priority="1001" operator="greaterThan">
      <formula>0</formula>
    </cfRule>
  </conditionalFormatting>
  <conditionalFormatting sqref="K393">
    <cfRule type="endsWith" dxfId="928" priority="1000" operator="endsWith" text="x">
      <formula>RIGHT(K393,LEN("x"))="x"</formula>
    </cfRule>
  </conditionalFormatting>
  <conditionalFormatting sqref="K393">
    <cfRule type="cellIs" dxfId="927" priority="999" operator="greaterThan">
      <formula>0</formula>
    </cfRule>
  </conditionalFormatting>
  <conditionalFormatting sqref="I385">
    <cfRule type="endsWith" dxfId="926" priority="998" operator="endsWith" text="x">
      <formula>RIGHT(I385,LEN("x"))="x"</formula>
    </cfRule>
  </conditionalFormatting>
  <conditionalFormatting sqref="I385">
    <cfRule type="cellIs" dxfId="925" priority="997" operator="greaterThan">
      <formula>0</formula>
    </cfRule>
  </conditionalFormatting>
  <conditionalFormatting sqref="J385">
    <cfRule type="endsWith" dxfId="924" priority="996" operator="endsWith" text="x">
      <formula>RIGHT(J385,LEN("x"))="x"</formula>
    </cfRule>
  </conditionalFormatting>
  <conditionalFormatting sqref="J385">
    <cfRule type="cellIs" dxfId="923" priority="995" operator="greaterThan">
      <formula>0</formula>
    </cfRule>
  </conditionalFormatting>
  <conditionalFormatting sqref="K385">
    <cfRule type="endsWith" dxfId="922" priority="994" operator="endsWith" text="x">
      <formula>RIGHT(K385,LEN("x"))="x"</formula>
    </cfRule>
  </conditionalFormatting>
  <conditionalFormatting sqref="K385">
    <cfRule type="cellIs" dxfId="921" priority="993" operator="greaterThan">
      <formula>0</formula>
    </cfRule>
  </conditionalFormatting>
  <conditionalFormatting sqref="I403">
    <cfRule type="endsWith" dxfId="920" priority="992" operator="endsWith" text="x">
      <formula>RIGHT(I403,LEN("x"))="x"</formula>
    </cfRule>
  </conditionalFormatting>
  <conditionalFormatting sqref="I403">
    <cfRule type="cellIs" dxfId="919" priority="991" operator="greaterThan">
      <formula>0</formula>
    </cfRule>
  </conditionalFormatting>
  <conditionalFormatting sqref="J403">
    <cfRule type="endsWith" dxfId="918" priority="990" operator="endsWith" text="x">
      <formula>RIGHT(J403,LEN("x"))="x"</formula>
    </cfRule>
  </conditionalFormatting>
  <conditionalFormatting sqref="J403">
    <cfRule type="cellIs" dxfId="917" priority="989" operator="greaterThan">
      <formula>0</formula>
    </cfRule>
  </conditionalFormatting>
  <conditionalFormatting sqref="K403">
    <cfRule type="endsWith" dxfId="916" priority="988" operator="endsWith" text="x">
      <formula>RIGHT(K403,LEN("x"))="x"</formula>
    </cfRule>
  </conditionalFormatting>
  <conditionalFormatting sqref="K403">
    <cfRule type="cellIs" dxfId="915" priority="987" operator="greaterThan">
      <formula>0</formula>
    </cfRule>
  </conditionalFormatting>
  <conditionalFormatting sqref="I409">
    <cfRule type="endsWith" dxfId="914" priority="986" operator="endsWith" text="x">
      <formula>RIGHT(I409,LEN("x"))="x"</formula>
    </cfRule>
  </conditionalFormatting>
  <conditionalFormatting sqref="I409">
    <cfRule type="cellIs" dxfId="913" priority="985" operator="greaterThan">
      <formula>0</formula>
    </cfRule>
  </conditionalFormatting>
  <conditionalFormatting sqref="J409">
    <cfRule type="endsWith" dxfId="912" priority="984" operator="endsWith" text="x">
      <formula>RIGHT(J409,LEN("x"))="x"</formula>
    </cfRule>
  </conditionalFormatting>
  <conditionalFormatting sqref="J409">
    <cfRule type="cellIs" dxfId="911" priority="983" operator="greaterThan">
      <formula>0</formula>
    </cfRule>
  </conditionalFormatting>
  <conditionalFormatting sqref="K409">
    <cfRule type="endsWith" dxfId="910" priority="982" operator="endsWith" text="x">
      <formula>RIGHT(K409,LEN("x"))="x"</formula>
    </cfRule>
  </conditionalFormatting>
  <conditionalFormatting sqref="K409">
    <cfRule type="cellIs" dxfId="909" priority="981" operator="greaterThan">
      <formula>0</formula>
    </cfRule>
  </conditionalFormatting>
  <conditionalFormatting sqref="I415">
    <cfRule type="endsWith" dxfId="908" priority="980" operator="endsWith" text="x">
      <formula>RIGHT(I415,LEN("x"))="x"</formula>
    </cfRule>
  </conditionalFormatting>
  <conditionalFormatting sqref="I415">
    <cfRule type="cellIs" dxfId="907" priority="979" operator="greaterThan">
      <formula>0</formula>
    </cfRule>
  </conditionalFormatting>
  <conditionalFormatting sqref="J415">
    <cfRule type="endsWith" dxfId="906" priority="978" operator="endsWith" text="x">
      <formula>RIGHT(J415,LEN("x"))="x"</formula>
    </cfRule>
  </conditionalFormatting>
  <conditionalFormatting sqref="J415">
    <cfRule type="cellIs" dxfId="905" priority="977" operator="greaterThan">
      <formula>0</formula>
    </cfRule>
  </conditionalFormatting>
  <conditionalFormatting sqref="K415">
    <cfRule type="endsWith" dxfId="904" priority="976" operator="endsWith" text="x">
      <formula>RIGHT(K415,LEN("x"))="x"</formula>
    </cfRule>
  </conditionalFormatting>
  <conditionalFormatting sqref="K415">
    <cfRule type="cellIs" dxfId="903" priority="975" operator="greaterThan">
      <formula>0</formula>
    </cfRule>
  </conditionalFormatting>
  <conditionalFormatting sqref="I421">
    <cfRule type="endsWith" dxfId="902" priority="974" operator="endsWith" text="x">
      <formula>RIGHT(I421,LEN("x"))="x"</formula>
    </cfRule>
  </conditionalFormatting>
  <conditionalFormatting sqref="I421">
    <cfRule type="cellIs" dxfId="901" priority="973" operator="greaterThan">
      <formula>0</formula>
    </cfRule>
  </conditionalFormatting>
  <conditionalFormatting sqref="J421">
    <cfRule type="endsWith" dxfId="900" priority="972" operator="endsWith" text="x">
      <formula>RIGHT(J421,LEN("x"))="x"</formula>
    </cfRule>
  </conditionalFormatting>
  <conditionalFormatting sqref="J421">
    <cfRule type="cellIs" dxfId="899" priority="971" operator="greaterThan">
      <formula>0</formula>
    </cfRule>
  </conditionalFormatting>
  <conditionalFormatting sqref="K421">
    <cfRule type="endsWith" dxfId="898" priority="970" operator="endsWith" text="x">
      <formula>RIGHT(K421,LEN("x"))="x"</formula>
    </cfRule>
  </conditionalFormatting>
  <conditionalFormatting sqref="K421">
    <cfRule type="cellIs" dxfId="897" priority="969" operator="greaterThan">
      <formula>0</formula>
    </cfRule>
  </conditionalFormatting>
  <conditionalFormatting sqref="I427">
    <cfRule type="endsWith" dxfId="896" priority="968" operator="endsWith" text="x">
      <formula>RIGHT(I427,LEN("x"))="x"</formula>
    </cfRule>
  </conditionalFormatting>
  <conditionalFormatting sqref="I427">
    <cfRule type="cellIs" dxfId="895" priority="967" operator="greaterThan">
      <formula>0</formula>
    </cfRule>
  </conditionalFormatting>
  <conditionalFormatting sqref="J427">
    <cfRule type="endsWith" dxfId="894" priority="966" operator="endsWith" text="x">
      <formula>RIGHT(J427,LEN("x"))="x"</formula>
    </cfRule>
  </conditionalFormatting>
  <conditionalFormatting sqref="J427">
    <cfRule type="cellIs" dxfId="893" priority="965" operator="greaterThan">
      <formula>0</formula>
    </cfRule>
  </conditionalFormatting>
  <conditionalFormatting sqref="K427">
    <cfRule type="endsWith" dxfId="892" priority="964" operator="endsWith" text="x">
      <formula>RIGHT(K427,LEN("x"))="x"</formula>
    </cfRule>
  </conditionalFormatting>
  <conditionalFormatting sqref="K427">
    <cfRule type="cellIs" dxfId="891" priority="963" operator="greaterThan">
      <formula>0</formula>
    </cfRule>
  </conditionalFormatting>
  <conditionalFormatting sqref="I433">
    <cfRule type="endsWith" dxfId="890" priority="962" operator="endsWith" text="x">
      <formula>RIGHT(I433,LEN("x"))="x"</formula>
    </cfRule>
  </conditionalFormatting>
  <conditionalFormatting sqref="I433">
    <cfRule type="cellIs" dxfId="889" priority="961" operator="greaterThan">
      <formula>0</formula>
    </cfRule>
  </conditionalFormatting>
  <conditionalFormatting sqref="J433">
    <cfRule type="endsWith" dxfId="888" priority="960" operator="endsWith" text="x">
      <formula>RIGHT(J433,LEN("x"))="x"</formula>
    </cfRule>
  </conditionalFormatting>
  <conditionalFormatting sqref="J433">
    <cfRule type="cellIs" dxfId="887" priority="959" operator="greaterThan">
      <formula>0</formula>
    </cfRule>
  </conditionalFormatting>
  <conditionalFormatting sqref="K433">
    <cfRule type="endsWith" dxfId="886" priority="958" operator="endsWith" text="x">
      <formula>RIGHT(K433,LEN("x"))="x"</formula>
    </cfRule>
  </conditionalFormatting>
  <conditionalFormatting sqref="K433">
    <cfRule type="cellIs" dxfId="885" priority="957" operator="greaterThan">
      <formula>0</formula>
    </cfRule>
  </conditionalFormatting>
  <conditionalFormatting sqref="I439">
    <cfRule type="endsWith" dxfId="884" priority="956" operator="endsWith" text="x">
      <formula>RIGHT(I439,LEN("x"))="x"</formula>
    </cfRule>
  </conditionalFormatting>
  <conditionalFormatting sqref="I439">
    <cfRule type="cellIs" dxfId="883" priority="955" operator="greaterThan">
      <formula>0</formula>
    </cfRule>
  </conditionalFormatting>
  <conditionalFormatting sqref="J439">
    <cfRule type="endsWith" dxfId="882" priority="954" operator="endsWith" text="x">
      <formula>RIGHT(J439,LEN("x"))="x"</formula>
    </cfRule>
  </conditionalFormatting>
  <conditionalFormatting sqref="J439">
    <cfRule type="cellIs" dxfId="881" priority="953" operator="greaterThan">
      <formula>0</formula>
    </cfRule>
  </conditionalFormatting>
  <conditionalFormatting sqref="K439">
    <cfRule type="endsWith" dxfId="880" priority="952" operator="endsWith" text="x">
      <formula>RIGHT(K439,LEN("x"))="x"</formula>
    </cfRule>
  </conditionalFormatting>
  <conditionalFormatting sqref="K439">
    <cfRule type="cellIs" dxfId="879" priority="951" operator="greaterThan">
      <formula>0</formula>
    </cfRule>
  </conditionalFormatting>
  <conditionalFormatting sqref="I445">
    <cfRule type="endsWith" dxfId="878" priority="950" operator="endsWith" text="x">
      <formula>RIGHT(I445,LEN("x"))="x"</formula>
    </cfRule>
  </conditionalFormatting>
  <conditionalFormatting sqref="I445">
    <cfRule type="cellIs" dxfId="877" priority="949" operator="greaterThan">
      <formula>0</formula>
    </cfRule>
  </conditionalFormatting>
  <conditionalFormatting sqref="J445">
    <cfRule type="endsWith" dxfId="876" priority="948" operator="endsWith" text="x">
      <formula>RIGHT(J445,LEN("x"))="x"</formula>
    </cfRule>
  </conditionalFormatting>
  <conditionalFormatting sqref="J445">
    <cfRule type="cellIs" dxfId="875" priority="947" operator="greaterThan">
      <formula>0</formula>
    </cfRule>
  </conditionalFormatting>
  <conditionalFormatting sqref="K445">
    <cfRule type="endsWith" dxfId="874" priority="946" operator="endsWith" text="x">
      <formula>RIGHT(K445,LEN("x"))="x"</formula>
    </cfRule>
  </conditionalFormatting>
  <conditionalFormatting sqref="K445">
    <cfRule type="cellIs" dxfId="873" priority="945" operator="greaterThan">
      <formula>0</formula>
    </cfRule>
  </conditionalFormatting>
  <conditionalFormatting sqref="I451">
    <cfRule type="endsWith" dxfId="872" priority="944" operator="endsWith" text="x">
      <formula>RIGHT(I451,LEN("x"))="x"</formula>
    </cfRule>
  </conditionalFormatting>
  <conditionalFormatting sqref="I451">
    <cfRule type="cellIs" dxfId="871" priority="943" operator="greaterThan">
      <formula>0</formula>
    </cfRule>
  </conditionalFormatting>
  <conditionalFormatting sqref="J451">
    <cfRule type="endsWith" dxfId="870" priority="942" operator="endsWith" text="x">
      <formula>RIGHT(J451,LEN("x"))="x"</formula>
    </cfRule>
  </conditionalFormatting>
  <conditionalFormatting sqref="J451">
    <cfRule type="cellIs" dxfId="869" priority="941" operator="greaterThan">
      <formula>0</formula>
    </cfRule>
  </conditionalFormatting>
  <conditionalFormatting sqref="K451">
    <cfRule type="endsWith" dxfId="868" priority="940" operator="endsWith" text="x">
      <formula>RIGHT(K451,LEN("x"))="x"</formula>
    </cfRule>
  </conditionalFormatting>
  <conditionalFormatting sqref="K451">
    <cfRule type="cellIs" dxfId="867" priority="939" operator="greaterThan">
      <formula>0</formula>
    </cfRule>
  </conditionalFormatting>
  <conditionalFormatting sqref="I457">
    <cfRule type="endsWith" dxfId="866" priority="938" operator="endsWith" text="x">
      <formula>RIGHT(I457,LEN("x"))="x"</formula>
    </cfRule>
  </conditionalFormatting>
  <conditionalFormatting sqref="I457">
    <cfRule type="cellIs" dxfId="865" priority="937" operator="greaterThan">
      <formula>0</formula>
    </cfRule>
  </conditionalFormatting>
  <conditionalFormatting sqref="J457">
    <cfRule type="endsWith" dxfId="864" priority="936" operator="endsWith" text="x">
      <formula>RIGHT(J457,LEN("x"))="x"</formula>
    </cfRule>
  </conditionalFormatting>
  <conditionalFormatting sqref="J457">
    <cfRule type="cellIs" dxfId="863" priority="935" operator="greaterThan">
      <formula>0</formula>
    </cfRule>
  </conditionalFormatting>
  <conditionalFormatting sqref="K457">
    <cfRule type="endsWith" dxfId="862" priority="934" operator="endsWith" text="x">
      <formula>RIGHT(K457,LEN("x"))="x"</formula>
    </cfRule>
  </conditionalFormatting>
  <conditionalFormatting sqref="K457">
    <cfRule type="cellIs" dxfId="861" priority="933" operator="greaterThan">
      <formula>0</formula>
    </cfRule>
  </conditionalFormatting>
  <conditionalFormatting sqref="I463">
    <cfRule type="endsWith" dxfId="860" priority="932" operator="endsWith" text="x">
      <formula>RIGHT(I463,LEN("x"))="x"</formula>
    </cfRule>
  </conditionalFormatting>
  <conditionalFormatting sqref="I463">
    <cfRule type="cellIs" dxfId="859" priority="931" operator="greaterThan">
      <formula>0</formula>
    </cfRule>
  </conditionalFormatting>
  <conditionalFormatting sqref="J463">
    <cfRule type="endsWith" dxfId="858" priority="930" operator="endsWith" text="x">
      <formula>RIGHT(J463,LEN("x"))="x"</formula>
    </cfRule>
  </conditionalFormatting>
  <conditionalFormatting sqref="J463">
    <cfRule type="cellIs" dxfId="857" priority="929" operator="greaterThan">
      <formula>0</formula>
    </cfRule>
  </conditionalFormatting>
  <conditionalFormatting sqref="K463">
    <cfRule type="endsWith" dxfId="856" priority="928" operator="endsWith" text="x">
      <formula>RIGHT(K463,LEN("x"))="x"</formula>
    </cfRule>
  </conditionalFormatting>
  <conditionalFormatting sqref="K463">
    <cfRule type="cellIs" dxfId="855" priority="927" operator="greaterThan">
      <formula>0</formula>
    </cfRule>
  </conditionalFormatting>
  <conditionalFormatting sqref="I469">
    <cfRule type="endsWith" dxfId="854" priority="926" operator="endsWith" text="x">
      <formula>RIGHT(I469,LEN("x"))="x"</formula>
    </cfRule>
  </conditionalFormatting>
  <conditionalFormatting sqref="I469">
    <cfRule type="cellIs" dxfId="853" priority="925" operator="greaterThan">
      <formula>0</formula>
    </cfRule>
  </conditionalFormatting>
  <conditionalFormatting sqref="J469">
    <cfRule type="endsWith" dxfId="852" priority="924" operator="endsWith" text="x">
      <formula>RIGHT(J469,LEN("x"))="x"</formula>
    </cfRule>
  </conditionalFormatting>
  <conditionalFormatting sqref="J469">
    <cfRule type="cellIs" dxfId="851" priority="923" operator="greaterThan">
      <formula>0</formula>
    </cfRule>
  </conditionalFormatting>
  <conditionalFormatting sqref="K469">
    <cfRule type="endsWith" dxfId="850" priority="922" operator="endsWith" text="x">
      <formula>RIGHT(K469,LEN("x"))="x"</formula>
    </cfRule>
  </conditionalFormatting>
  <conditionalFormatting sqref="K469">
    <cfRule type="cellIs" dxfId="849" priority="921" operator="greaterThan">
      <formula>0</formula>
    </cfRule>
  </conditionalFormatting>
  <conditionalFormatting sqref="I475">
    <cfRule type="endsWith" dxfId="848" priority="920" operator="endsWith" text="x">
      <formula>RIGHT(I475,LEN("x"))="x"</formula>
    </cfRule>
  </conditionalFormatting>
  <conditionalFormatting sqref="I475">
    <cfRule type="cellIs" dxfId="847" priority="919" operator="greaterThan">
      <formula>0</formula>
    </cfRule>
  </conditionalFormatting>
  <conditionalFormatting sqref="J475">
    <cfRule type="endsWith" dxfId="846" priority="918" operator="endsWith" text="x">
      <formula>RIGHT(J475,LEN("x"))="x"</formula>
    </cfRule>
  </conditionalFormatting>
  <conditionalFormatting sqref="J475">
    <cfRule type="cellIs" dxfId="845" priority="917" operator="greaterThan">
      <formula>0</formula>
    </cfRule>
  </conditionalFormatting>
  <conditionalFormatting sqref="K475">
    <cfRule type="endsWith" dxfId="844" priority="916" operator="endsWith" text="x">
      <formula>RIGHT(K475,LEN("x"))="x"</formula>
    </cfRule>
  </conditionalFormatting>
  <conditionalFormatting sqref="K475">
    <cfRule type="cellIs" dxfId="843" priority="915" operator="greaterThan">
      <formula>0</formula>
    </cfRule>
  </conditionalFormatting>
  <conditionalFormatting sqref="I487">
    <cfRule type="endsWith" dxfId="842" priority="914" operator="endsWith" text="x">
      <formula>RIGHT(I487,LEN("x"))="x"</formula>
    </cfRule>
  </conditionalFormatting>
  <conditionalFormatting sqref="I487">
    <cfRule type="cellIs" dxfId="841" priority="913" operator="greaterThan">
      <formula>0</formula>
    </cfRule>
  </conditionalFormatting>
  <conditionalFormatting sqref="J487">
    <cfRule type="endsWith" dxfId="840" priority="912" operator="endsWith" text="x">
      <formula>RIGHT(J487,LEN("x"))="x"</formula>
    </cfRule>
  </conditionalFormatting>
  <conditionalFormatting sqref="J487">
    <cfRule type="cellIs" dxfId="839" priority="911" operator="greaterThan">
      <formula>0</formula>
    </cfRule>
  </conditionalFormatting>
  <conditionalFormatting sqref="K487">
    <cfRule type="endsWith" dxfId="838" priority="910" operator="endsWith" text="x">
      <formula>RIGHT(K487,LEN("x"))="x"</formula>
    </cfRule>
  </conditionalFormatting>
  <conditionalFormatting sqref="K487">
    <cfRule type="cellIs" dxfId="837" priority="909" operator="greaterThan">
      <formula>0</formula>
    </cfRule>
  </conditionalFormatting>
  <conditionalFormatting sqref="I493">
    <cfRule type="endsWith" dxfId="836" priority="908" operator="endsWith" text="x">
      <formula>RIGHT(I493,LEN("x"))="x"</formula>
    </cfRule>
  </conditionalFormatting>
  <conditionalFormatting sqref="I493">
    <cfRule type="cellIs" dxfId="835" priority="907" operator="greaterThan">
      <formula>0</formula>
    </cfRule>
  </conditionalFormatting>
  <conditionalFormatting sqref="J493">
    <cfRule type="endsWith" dxfId="834" priority="906" operator="endsWith" text="x">
      <formula>RIGHT(J493,LEN("x"))="x"</formula>
    </cfRule>
  </conditionalFormatting>
  <conditionalFormatting sqref="J493">
    <cfRule type="cellIs" dxfId="833" priority="905" operator="greaterThan">
      <formula>0</formula>
    </cfRule>
  </conditionalFormatting>
  <conditionalFormatting sqref="K493">
    <cfRule type="endsWith" dxfId="832" priority="904" operator="endsWith" text="x">
      <formula>RIGHT(K493,LEN("x"))="x"</formula>
    </cfRule>
  </conditionalFormatting>
  <conditionalFormatting sqref="K493">
    <cfRule type="cellIs" dxfId="831" priority="903" operator="greaterThan">
      <formula>0</formula>
    </cfRule>
  </conditionalFormatting>
  <conditionalFormatting sqref="I499">
    <cfRule type="endsWith" dxfId="830" priority="902" operator="endsWith" text="x">
      <formula>RIGHT(I499,LEN("x"))="x"</formula>
    </cfRule>
  </conditionalFormatting>
  <conditionalFormatting sqref="I499">
    <cfRule type="cellIs" dxfId="829" priority="901" operator="greaterThan">
      <formula>0</formula>
    </cfRule>
  </conditionalFormatting>
  <conditionalFormatting sqref="J499">
    <cfRule type="endsWith" dxfId="828" priority="900" operator="endsWith" text="x">
      <formula>RIGHT(J499,LEN("x"))="x"</formula>
    </cfRule>
  </conditionalFormatting>
  <conditionalFormatting sqref="J499">
    <cfRule type="cellIs" dxfId="827" priority="899" operator="greaterThan">
      <formula>0</formula>
    </cfRule>
  </conditionalFormatting>
  <conditionalFormatting sqref="K499">
    <cfRule type="endsWith" dxfId="826" priority="898" operator="endsWith" text="x">
      <formula>RIGHT(K499,LEN("x"))="x"</formula>
    </cfRule>
  </conditionalFormatting>
  <conditionalFormatting sqref="K499">
    <cfRule type="cellIs" dxfId="825" priority="897" operator="greaterThan">
      <formula>0</formula>
    </cfRule>
  </conditionalFormatting>
  <conditionalFormatting sqref="I513">
    <cfRule type="endsWith" dxfId="824" priority="896" operator="endsWith" text="x">
      <formula>RIGHT(I513,LEN("x"))="x"</formula>
    </cfRule>
  </conditionalFormatting>
  <conditionalFormatting sqref="I513">
    <cfRule type="cellIs" dxfId="823" priority="895" operator="greaterThan">
      <formula>0</formula>
    </cfRule>
  </conditionalFormatting>
  <conditionalFormatting sqref="J513">
    <cfRule type="endsWith" dxfId="822" priority="894" operator="endsWith" text="x">
      <formula>RIGHT(J513,LEN("x"))="x"</formula>
    </cfRule>
  </conditionalFormatting>
  <conditionalFormatting sqref="J513">
    <cfRule type="cellIs" dxfId="821" priority="893" operator="greaterThan">
      <formula>0</formula>
    </cfRule>
  </conditionalFormatting>
  <conditionalFormatting sqref="K513">
    <cfRule type="endsWith" dxfId="820" priority="892" operator="endsWith" text="x">
      <formula>RIGHT(K513,LEN("x"))="x"</formula>
    </cfRule>
  </conditionalFormatting>
  <conditionalFormatting sqref="K513">
    <cfRule type="cellIs" dxfId="819" priority="891" operator="greaterThan">
      <formula>0</formula>
    </cfRule>
  </conditionalFormatting>
  <conditionalFormatting sqref="I519">
    <cfRule type="endsWith" dxfId="818" priority="890" operator="endsWith" text="x">
      <formula>RIGHT(I519,LEN("x"))="x"</formula>
    </cfRule>
  </conditionalFormatting>
  <conditionalFormatting sqref="I519">
    <cfRule type="cellIs" dxfId="817" priority="889" operator="greaterThan">
      <formula>0</formula>
    </cfRule>
  </conditionalFormatting>
  <conditionalFormatting sqref="J519">
    <cfRule type="endsWith" dxfId="816" priority="888" operator="endsWith" text="x">
      <formula>RIGHT(J519,LEN("x"))="x"</formula>
    </cfRule>
  </conditionalFormatting>
  <conditionalFormatting sqref="J519">
    <cfRule type="cellIs" dxfId="815" priority="887" operator="greaterThan">
      <formula>0</formula>
    </cfRule>
  </conditionalFormatting>
  <conditionalFormatting sqref="K519">
    <cfRule type="endsWith" dxfId="814" priority="886" operator="endsWith" text="x">
      <formula>RIGHT(K519,LEN("x"))="x"</formula>
    </cfRule>
  </conditionalFormatting>
  <conditionalFormatting sqref="K519">
    <cfRule type="cellIs" dxfId="813" priority="885" operator="greaterThan">
      <formula>0</formula>
    </cfRule>
  </conditionalFormatting>
  <conditionalFormatting sqref="I525">
    <cfRule type="endsWith" dxfId="812" priority="884" operator="endsWith" text="x">
      <formula>RIGHT(I525,LEN("x"))="x"</formula>
    </cfRule>
  </conditionalFormatting>
  <conditionalFormatting sqref="I525">
    <cfRule type="cellIs" dxfId="811" priority="883" operator="greaterThan">
      <formula>0</formula>
    </cfRule>
  </conditionalFormatting>
  <conditionalFormatting sqref="J525">
    <cfRule type="endsWith" dxfId="810" priority="882" operator="endsWith" text="x">
      <formula>RIGHT(J525,LEN("x"))="x"</formula>
    </cfRule>
  </conditionalFormatting>
  <conditionalFormatting sqref="J525">
    <cfRule type="cellIs" dxfId="809" priority="881" operator="greaterThan">
      <formula>0</formula>
    </cfRule>
  </conditionalFormatting>
  <conditionalFormatting sqref="K525">
    <cfRule type="endsWith" dxfId="808" priority="880" operator="endsWith" text="x">
      <formula>RIGHT(K525,LEN("x"))="x"</formula>
    </cfRule>
  </conditionalFormatting>
  <conditionalFormatting sqref="K525">
    <cfRule type="cellIs" dxfId="807" priority="879" operator="greaterThan">
      <formula>0</formula>
    </cfRule>
  </conditionalFormatting>
  <conditionalFormatting sqref="I531">
    <cfRule type="endsWith" dxfId="806" priority="878" operator="endsWith" text="x">
      <formula>RIGHT(I531,LEN("x"))="x"</formula>
    </cfRule>
  </conditionalFormatting>
  <conditionalFormatting sqref="I531">
    <cfRule type="cellIs" dxfId="805" priority="877" operator="greaterThan">
      <formula>0</formula>
    </cfRule>
  </conditionalFormatting>
  <conditionalFormatting sqref="J531">
    <cfRule type="endsWith" dxfId="804" priority="876" operator="endsWith" text="x">
      <formula>RIGHT(J531,LEN("x"))="x"</formula>
    </cfRule>
  </conditionalFormatting>
  <conditionalFormatting sqref="J531">
    <cfRule type="cellIs" dxfId="803" priority="875" operator="greaterThan">
      <formula>0</formula>
    </cfRule>
  </conditionalFormatting>
  <conditionalFormatting sqref="K531">
    <cfRule type="endsWith" dxfId="802" priority="874" operator="endsWith" text="x">
      <formula>RIGHT(K531,LEN("x"))="x"</formula>
    </cfRule>
  </conditionalFormatting>
  <conditionalFormatting sqref="K531">
    <cfRule type="cellIs" dxfId="801" priority="873" operator="greaterThan">
      <formula>0</formula>
    </cfRule>
  </conditionalFormatting>
  <conditionalFormatting sqref="I537">
    <cfRule type="endsWith" dxfId="800" priority="872" operator="endsWith" text="x">
      <formula>RIGHT(I537,LEN("x"))="x"</formula>
    </cfRule>
  </conditionalFormatting>
  <conditionalFormatting sqref="I537">
    <cfRule type="cellIs" dxfId="799" priority="871" operator="greaterThan">
      <formula>0</formula>
    </cfRule>
  </conditionalFormatting>
  <conditionalFormatting sqref="J537">
    <cfRule type="endsWith" dxfId="798" priority="870" operator="endsWith" text="x">
      <formula>RIGHT(J537,LEN("x"))="x"</formula>
    </cfRule>
  </conditionalFormatting>
  <conditionalFormatting sqref="J537">
    <cfRule type="cellIs" dxfId="797" priority="869" operator="greaterThan">
      <formula>0</formula>
    </cfRule>
  </conditionalFormatting>
  <conditionalFormatting sqref="K537">
    <cfRule type="endsWith" dxfId="796" priority="868" operator="endsWith" text="x">
      <formula>RIGHT(K537,LEN("x"))="x"</formula>
    </cfRule>
  </conditionalFormatting>
  <conditionalFormatting sqref="K537">
    <cfRule type="cellIs" dxfId="795" priority="867" operator="greaterThan">
      <formula>0</formula>
    </cfRule>
  </conditionalFormatting>
  <conditionalFormatting sqref="I553">
    <cfRule type="endsWith" dxfId="794" priority="866" operator="endsWith" text="x">
      <formula>RIGHT(I553,LEN("x"))="x"</formula>
    </cfRule>
  </conditionalFormatting>
  <conditionalFormatting sqref="I553">
    <cfRule type="cellIs" dxfId="793" priority="865" operator="greaterThan">
      <formula>0</formula>
    </cfRule>
  </conditionalFormatting>
  <conditionalFormatting sqref="J553">
    <cfRule type="endsWith" dxfId="792" priority="864" operator="endsWith" text="x">
      <formula>RIGHT(J553,LEN("x"))="x"</formula>
    </cfRule>
  </conditionalFormatting>
  <conditionalFormatting sqref="J553">
    <cfRule type="cellIs" dxfId="791" priority="863" operator="greaterThan">
      <formula>0</formula>
    </cfRule>
  </conditionalFormatting>
  <conditionalFormatting sqref="K553">
    <cfRule type="endsWith" dxfId="790" priority="862" operator="endsWith" text="x">
      <formula>RIGHT(K553,LEN("x"))="x"</formula>
    </cfRule>
  </conditionalFormatting>
  <conditionalFormatting sqref="K553">
    <cfRule type="cellIs" dxfId="789" priority="861" operator="greaterThan">
      <formula>0</formula>
    </cfRule>
  </conditionalFormatting>
  <conditionalFormatting sqref="I559">
    <cfRule type="endsWith" dxfId="788" priority="860" operator="endsWith" text="x">
      <formula>RIGHT(I559,LEN("x"))="x"</formula>
    </cfRule>
  </conditionalFormatting>
  <conditionalFormatting sqref="I559">
    <cfRule type="cellIs" dxfId="787" priority="859" operator="greaterThan">
      <formula>0</formula>
    </cfRule>
  </conditionalFormatting>
  <conditionalFormatting sqref="J559">
    <cfRule type="endsWith" dxfId="786" priority="858" operator="endsWith" text="x">
      <formula>RIGHT(J559,LEN("x"))="x"</formula>
    </cfRule>
  </conditionalFormatting>
  <conditionalFormatting sqref="J559">
    <cfRule type="cellIs" dxfId="785" priority="857" operator="greaterThan">
      <formula>0</formula>
    </cfRule>
  </conditionalFormatting>
  <conditionalFormatting sqref="K559">
    <cfRule type="endsWith" dxfId="784" priority="856" operator="endsWith" text="x">
      <formula>RIGHT(K559,LEN("x"))="x"</formula>
    </cfRule>
  </conditionalFormatting>
  <conditionalFormatting sqref="K559">
    <cfRule type="cellIs" dxfId="783" priority="855" operator="greaterThan">
      <formula>0</formula>
    </cfRule>
  </conditionalFormatting>
  <conditionalFormatting sqref="I567">
    <cfRule type="endsWith" dxfId="782" priority="854" operator="endsWith" text="x">
      <formula>RIGHT(I567,LEN("x"))="x"</formula>
    </cfRule>
  </conditionalFormatting>
  <conditionalFormatting sqref="I567">
    <cfRule type="cellIs" dxfId="781" priority="853" operator="greaterThan">
      <formula>0</formula>
    </cfRule>
  </conditionalFormatting>
  <conditionalFormatting sqref="J567">
    <cfRule type="endsWith" dxfId="780" priority="852" operator="endsWith" text="x">
      <formula>RIGHT(J567,LEN("x"))="x"</formula>
    </cfRule>
  </conditionalFormatting>
  <conditionalFormatting sqref="J567">
    <cfRule type="cellIs" dxfId="779" priority="851" operator="greaterThan">
      <formula>0</formula>
    </cfRule>
  </conditionalFormatting>
  <conditionalFormatting sqref="K567">
    <cfRule type="endsWith" dxfId="778" priority="850" operator="endsWith" text="x">
      <formula>RIGHT(K567,LEN("x"))="x"</formula>
    </cfRule>
  </conditionalFormatting>
  <conditionalFormatting sqref="K567">
    <cfRule type="cellIs" dxfId="777" priority="849" operator="greaterThan">
      <formula>0</formula>
    </cfRule>
  </conditionalFormatting>
  <conditionalFormatting sqref="I573">
    <cfRule type="endsWith" dxfId="776" priority="848" operator="endsWith" text="x">
      <formula>RIGHT(I573,LEN("x"))="x"</formula>
    </cfRule>
  </conditionalFormatting>
  <conditionalFormatting sqref="I573">
    <cfRule type="cellIs" dxfId="775" priority="847" operator="greaterThan">
      <formula>0</formula>
    </cfRule>
  </conditionalFormatting>
  <conditionalFormatting sqref="J573">
    <cfRule type="endsWith" dxfId="774" priority="846" operator="endsWith" text="x">
      <formula>RIGHT(J573,LEN("x"))="x"</formula>
    </cfRule>
  </conditionalFormatting>
  <conditionalFormatting sqref="J573">
    <cfRule type="cellIs" dxfId="773" priority="845" operator="greaterThan">
      <formula>0</formula>
    </cfRule>
  </conditionalFormatting>
  <conditionalFormatting sqref="K573">
    <cfRule type="endsWith" dxfId="772" priority="844" operator="endsWith" text="x">
      <formula>RIGHT(K573,LEN("x"))="x"</formula>
    </cfRule>
  </conditionalFormatting>
  <conditionalFormatting sqref="K573">
    <cfRule type="cellIs" dxfId="771" priority="843" operator="greaterThan">
      <formula>0</formula>
    </cfRule>
  </conditionalFormatting>
  <conditionalFormatting sqref="I579">
    <cfRule type="endsWith" dxfId="770" priority="842" operator="endsWith" text="x">
      <formula>RIGHT(I579,LEN("x"))="x"</formula>
    </cfRule>
  </conditionalFormatting>
  <conditionalFormatting sqref="I579">
    <cfRule type="cellIs" dxfId="769" priority="841" operator="greaterThan">
      <formula>0</formula>
    </cfRule>
  </conditionalFormatting>
  <conditionalFormatting sqref="J579">
    <cfRule type="endsWith" dxfId="768" priority="840" operator="endsWith" text="x">
      <formula>RIGHT(J579,LEN("x"))="x"</formula>
    </cfRule>
  </conditionalFormatting>
  <conditionalFormatting sqref="J579">
    <cfRule type="cellIs" dxfId="767" priority="839" operator="greaterThan">
      <formula>0</formula>
    </cfRule>
  </conditionalFormatting>
  <conditionalFormatting sqref="K579">
    <cfRule type="endsWith" dxfId="766" priority="838" operator="endsWith" text="x">
      <formula>RIGHT(K579,LEN("x"))="x"</formula>
    </cfRule>
  </conditionalFormatting>
  <conditionalFormatting sqref="K579">
    <cfRule type="cellIs" dxfId="765" priority="837" operator="greaterThan">
      <formula>0</formula>
    </cfRule>
  </conditionalFormatting>
  <conditionalFormatting sqref="I585">
    <cfRule type="endsWith" dxfId="764" priority="836" operator="endsWith" text="x">
      <formula>RIGHT(I585,LEN("x"))="x"</formula>
    </cfRule>
  </conditionalFormatting>
  <conditionalFormatting sqref="I585">
    <cfRule type="cellIs" dxfId="763" priority="835" operator="greaterThan">
      <formula>0</formula>
    </cfRule>
  </conditionalFormatting>
  <conditionalFormatting sqref="J585">
    <cfRule type="endsWith" dxfId="762" priority="834" operator="endsWith" text="x">
      <formula>RIGHT(J585,LEN("x"))="x"</formula>
    </cfRule>
  </conditionalFormatting>
  <conditionalFormatting sqref="J585">
    <cfRule type="cellIs" dxfId="761" priority="833" operator="greaterThan">
      <formula>0</formula>
    </cfRule>
  </conditionalFormatting>
  <conditionalFormatting sqref="K585">
    <cfRule type="endsWith" dxfId="760" priority="832" operator="endsWith" text="x">
      <formula>RIGHT(K585,LEN("x"))="x"</formula>
    </cfRule>
  </conditionalFormatting>
  <conditionalFormatting sqref="K585">
    <cfRule type="cellIs" dxfId="759" priority="831" operator="greaterThan">
      <formula>0</formula>
    </cfRule>
  </conditionalFormatting>
  <conditionalFormatting sqref="I591">
    <cfRule type="endsWith" dxfId="758" priority="830" operator="endsWith" text="x">
      <formula>RIGHT(I591,LEN("x"))="x"</formula>
    </cfRule>
  </conditionalFormatting>
  <conditionalFormatting sqref="I591">
    <cfRule type="cellIs" dxfId="757" priority="829" operator="greaterThan">
      <formula>0</formula>
    </cfRule>
  </conditionalFormatting>
  <conditionalFormatting sqref="J591">
    <cfRule type="endsWith" dxfId="756" priority="828" operator="endsWith" text="x">
      <formula>RIGHT(J591,LEN("x"))="x"</formula>
    </cfRule>
  </conditionalFormatting>
  <conditionalFormatting sqref="J591">
    <cfRule type="cellIs" dxfId="755" priority="827" operator="greaterThan">
      <formula>0</formula>
    </cfRule>
  </conditionalFormatting>
  <conditionalFormatting sqref="K591">
    <cfRule type="endsWith" dxfId="754" priority="826" operator="endsWith" text="x">
      <formula>RIGHT(K591,LEN("x"))="x"</formula>
    </cfRule>
  </conditionalFormatting>
  <conditionalFormatting sqref="K591">
    <cfRule type="cellIs" dxfId="753" priority="825" operator="greaterThan">
      <formula>0</formula>
    </cfRule>
  </conditionalFormatting>
  <conditionalFormatting sqref="I597">
    <cfRule type="endsWith" dxfId="752" priority="824" operator="endsWith" text="x">
      <formula>RIGHT(I597,LEN("x"))="x"</formula>
    </cfRule>
  </conditionalFormatting>
  <conditionalFormatting sqref="I597">
    <cfRule type="cellIs" dxfId="751" priority="823" operator="greaterThan">
      <formula>0</formula>
    </cfRule>
  </conditionalFormatting>
  <conditionalFormatting sqref="J597">
    <cfRule type="endsWith" dxfId="750" priority="822" operator="endsWith" text="x">
      <formula>RIGHT(J597,LEN("x"))="x"</formula>
    </cfRule>
  </conditionalFormatting>
  <conditionalFormatting sqref="J597">
    <cfRule type="cellIs" dxfId="749" priority="821" operator="greaterThan">
      <formula>0</formula>
    </cfRule>
  </conditionalFormatting>
  <conditionalFormatting sqref="K597">
    <cfRule type="endsWith" dxfId="748" priority="820" operator="endsWith" text="x">
      <formula>RIGHT(K597,LEN("x"))="x"</formula>
    </cfRule>
  </conditionalFormatting>
  <conditionalFormatting sqref="K597">
    <cfRule type="cellIs" dxfId="747" priority="819" operator="greaterThan">
      <formula>0</formula>
    </cfRule>
  </conditionalFormatting>
  <conditionalFormatting sqref="I605">
    <cfRule type="endsWith" dxfId="746" priority="818" operator="endsWith" text="x">
      <formula>RIGHT(I605,LEN("x"))="x"</formula>
    </cfRule>
  </conditionalFormatting>
  <conditionalFormatting sqref="I605">
    <cfRule type="cellIs" dxfId="745" priority="817" operator="greaterThan">
      <formula>0</formula>
    </cfRule>
  </conditionalFormatting>
  <conditionalFormatting sqref="J605">
    <cfRule type="endsWith" dxfId="744" priority="816" operator="endsWith" text="x">
      <formula>RIGHT(J605,LEN("x"))="x"</formula>
    </cfRule>
  </conditionalFormatting>
  <conditionalFormatting sqref="J605">
    <cfRule type="cellIs" dxfId="743" priority="815" operator="greaterThan">
      <formula>0</formula>
    </cfRule>
  </conditionalFormatting>
  <conditionalFormatting sqref="K605">
    <cfRule type="endsWith" dxfId="742" priority="814" operator="endsWith" text="x">
      <formula>RIGHT(K605,LEN("x"))="x"</formula>
    </cfRule>
  </conditionalFormatting>
  <conditionalFormatting sqref="K605">
    <cfRule type="cellIs" dxfId="741" priority="813" operator="greaterThan">
      <formula>0</formula>
    </cfRule>
  </conditionalFormatting>
  <conditionalFormatting sqref="I611">
    <cfRule type="endsWith" dxfId="740" priority="812" operator="endsWith" text="x">
      <formula>RIGHT(I611,LEN("x"))="x"</formula>
    </cfRule>
  </conditionalFormatting>
  <conditionalFormatting sqref="I611">
    <cfRule type="cellIs" dxfId="739" priority="811" operator="greaterThan">
      <formula>0</formula>
    </cfRule>
  </conditionalFormatting>
  <conditionalFormatting sqref="J611">
    <cfRule type="endsWith" dxfId="738" priority="810" operator="endsWith" text="x">
      <formula>RIGHT(J611,LEN("x"))="x"</formula>
    </cfRule>
  </conditionalFormatting>
  <conditionalFormatting sqref="J611">
    <cfRule type="cellIs" dxfId="737" priority="809" operator="greaterThan">
      <formula>0</formula>
    </cfRule>
  </conditionalFormatting>
  <conditionalFormatting sqref="K611">
    <cfRule type="endsWith" dxfId="736" priority="808" operator="endsWith" text="x">
      <formula>RIGHT(K611,LEN("x"))="x"</formula>
    </cfRule>
  </conditionalFormatting>
  <conditionalFormatting sqref="K611">
    <cfRule type="cellIs" dxfId="735" priority="807" operator="greaterThan">
      <formula>0</formula>
    </cfRule>
  </conditionalFormatting>
  <conditionalFormatting sqref="I617">
    <cfRule type="endsWith" dxfId="734" priority="806" operator="endsWith" text="x">
      <formula>RIGHT(I617,LEN("x"))="x"</formula>
    </cfRule>
  </conditionalFormatting>
  <conditionalFormatting sqref="I617">
    <cfRule type="cellIs" dxfId="733" priority="805" operator="greaterThan">
      <formula>0</formula>
    </cfRule>
  </conditionalFormatting>
  <conditionalFormatting sqref="J617">
    <cfRule type="endsWith" dxfId="732" priority="804" operator="endsWith" text="x">
      <formula>RIGHT(J617,LEN("x"))="x"</formula>
    </cfRule>
  </conditionalFormatting>
  <conditionalFormatting sqref="J617">
    <cfRule type="cellIs" dxfId="731" priority="803" operator="greaterThan">
      <formula>0</formula>
    </cfRule>
  </conditionalFormatting>
  <conditionalFormatting sqref="K617">
    <cfRule type="endsWith" dxfId="730" priority="802" operator="endsWith" text="x">
      <formula>RIGHT(K617,LEN("x"))="x"</formula>
    </cfRule>
  </conditionalFormatting>
  <conditionalFormatting sqref="K617">
    <cfRule type="cellIs" dxfId="729" priority="801" operator="greaterThan">
      <formula>0</formula>
    </cfRule>
  </conditionalFormatting>
  <conditionalFormatting sqref="I623">
    <cfRule type="endsWith" dxfId="728" priority="800" operator="endsWith" text="x">
      <formula>RIGHT(I623,LEN("x"))="x"</formula>
    </cfRule>
  </conditionalFormatting>
  <conditionalFormatting sqref="I623">
    <cfRule type="cellIs" dxfId="727" priority="799" operator="greaterThan">
      <formula>0</formula>
    </cfRule>
  </conditionalFormatting>
  <conditionalFormatting sqref="J623">
    <cfRule type="endsWith" dxfId="726" priority="798" operator="endsWith" text="x">
      <formula>RIGHT(J623,LEN("x"))="x"</formula>
    </cfRule>
  </conditionalFormatting>
  <conditionalFormatting sqref="J623">
    <cfRule type="cellIs" dxfId="725" priority="797" operator="greaterThan">
      <formula>0</formula>
    </cfRule>
  </conditionalFormatting>
  <conditionalFormatting sqref="K623">
    <cfRule type="endsWith" dxfId="724" priority="796" operator="endsWith" text="x">
      <formula>RIGHT(K623,LEN("x"))="x"</formula>
    </cfRule>
  </conditionalFormatting>
  <conditionalFormatting sqref="K623">
    <cfRule type="cellIs" dxfId="723" priority="795" operator="greaterThan">
      <formula>0</formula>
    </cfRule>
  </conditionalFormatting>
  <conditionalFormatting sqref="I629">
    <cfRule type="endsWith" dxfId="722" priority="794" operator="endsWith" text="x">
      <formula>RIGHT(I629,LEN("x"))="x"</formula>
    </cfRule>
  </conditionalFormatting>
  <conditionalFormatting sqref="I629">
    <cfRule type="cellIs" dxfId="721" priority="793" operator="greaterThan">
      <formula>0</formula>
    </cfRule>
  </conditionalFormatting>
  <conditionalFormatting sqref="J629">
    <cfRule type="endsWith" dxfId="720" priority="792" operator="endsWith" text="x">
      <formula>RIGHT(J629,LEN("x"))="x"</formula>
    </cfRule>
  </conditionalFormatting>
  <conditionalFormatting sqref="J629">
    <cfRule type="cellIs" dxfId="719" priority="791" operator="greaterThan">
      <formula>0</formula>
    </cfRule>
  </conditionalFormatting>
  <conditionalFormatting sqref="K629">
    <cfRule type="endsWith" dxfId="718" priority="790" operator="endsWith" text="x">
      <formula>RIGHT(K629,LEN("x"))="x"</formula>
    </cfRule>
  </conditionalFormatting>
  <conditionalFormatting sqref="K629">
    <cfRule type="cellIs" dxfId="717" priority="789" operator="greaterThan">
      <formula>0</formula>
    </cfRule>
  </conditionalFormatting>
  <conditionalFormatting sqref="I635">
    <cfRule type="endsWith" dxfId="716" priority="788" operator="endsWith" text="x">
      <formula>RIGHT(I635,LEN("x"))="x"</formula>
    </cfRule>
  </conditionalFormatting>
  <conditionalFormatting sqref="I635">
    <cfRule type="cellIs" dxfId="715" priority="787" operator="greaterThan">
      <formula>0</formula>
    </cfRule>
  </conditionalFormatting>
  <conditionalFormatting sqref="J635">
    <cfRule type="endsWith" dxfId="714" priority="786" operator="endsWith" text="x">
      <formula>RIGHT(J635,LEN("x"))="x"</formula>
    </cfRule>
  </conditionalFormatting>
  <conditionalFormatting sqref="J635">
    <cfRule type="cellIs" dxfId="713" priority="785" operator="greaterThan">
      <formula>0</formula>
    </cfRule>
  </conditionalFormatting>
  <conditionalFormatting sqref="K635">
    <cfRule type="endsWith" dxfId="712" priority="784" operator="endsWith" text="x">
      <formula>RIGHT(K635,LEN("x"))="x"</formula>
    </cfRule>
  </conditionalFormatting>
  <conditionalFormatting sqref="K635">
    <cfRule type="cellIs" dxfId="711" priority="783" operator="greaterThan">
      <formula>0</formula>
    </cfRule>
  </conditionalFormatting>
  <conditionalFormatting sqref="I641">
    <cfRule type="endsWith" dxfId="710" priority="782" operator="endsWith" text="x">
      <formula>RIGHT(I641,LEN("x"))="x"</formula>
    </cfRule>
  </conditionalFormatting>
  <conditionalFormatting sqref="I641">
    <cfRule type="cellIs" dxfId="709" priority="781" operator="greaterThan">
      <formula>0</formula>
    </cfRule>
  </conditionalFormatting>
  <conditionalFormatting sqref="J641">
    <cfRule type="endsWith" dxfId="708" priority="780" operator="endsWith" text="x">
      <formula>RIGHT(J641,LEN("x"))="x"</formula>
    </cfRule>
  </conditionalFormatting>
  <conditionalFormatting sqref="J641">
    <cfRule type="cellIs" dxfId="707" priority="779" operator="greaterThan">
      <formula>0</formula>
    </cfRule>
  </conditionalFormatting>
  <conditionalFormatting sqref="K641">
    <cfRule type="endsWith" dxfId="706" priority="778" operator="endsWith" text="x">
      <formula>RIGHT(K641,LEN("x"))="x"</formula>
    </cfRule>
  </conditionalFormatting>
  <conditionalFormatting sqref="K641">
    <cfRule type="cellIs" dxfId="705" priority="777" operator="greaterThan">
      <formula>0</formula>
    </cfRule>
  </conditionalFormatting>
  <conditionalFormatting sqref="I651">
    <cfRule type="endsWith" dxfId="704" priority="776" operator="endsWith" text="x">
      <formula>RIGHT(I651,LEN("x"))="x"</formula>
    </cfRule>
  </conditionalFormatting>
  <conditionalFormatting sqref="I651">
    <cfRule type="cellIs" dxfId="703" priority="775" operator="greaterThan">
      <formula>0</formula>
    </cfRule>
  </conditionalFormatting>
  <conditionalFormatting sqref="J651">
    <cfRule type="endsWith" dxfId="702" priority="774" operator="endsWith" text="x">
      <formula>RIGHT(J651,LEN("x"))="x"</formula>
    </cfRule>
  </conditionalFormatting>
  <conditionalFormatting sqref="J651">
    <cfRule type="cellIs" dxfId="701" priority="773" operator="greaterThan">
      <formula>0</formula>
    </cfRule>
  </conditionalFormatting>
  <conditionalFormatting sqref="K651">
    <cfRule type="endsWith" dxfId="700" priority="772" operator="endsWith" text="x">
      <formula>RIGHT(K651,LEN("x"))="x"</formula>
    </cfRule>
  </conditionalFormatting>
  <conditionalFormatting sqref="K651">
    <cfRule type="cellIs" dxfId="699" priority="771" operator="greaterThan">
      <formula>0</formula>
    </cfRule>
  </conditionalFormatting>
  <conditionalFormatting sqref="I659">
    <cfRule type="endsWith" dxfId="698" priority="770" operator="endsWith" text="x">
      <formula>RIGHT(I659,LEN("x"))="x"</formula>
    </cfRule>
  </conditionalFormatting>
  <conditionalFormatting sqref="I659">
    <cfRule type="cellIs" dxfId="697" priority="769" operator="greaterThan">
      <formula>0</formula>
    </cfRule>
  </conditionalFormatting>
  <conditionalFormatting sqref="J659">
    <cfRule type="endsWith" dxfId="696" priority="768" operator="endsWith" text="x">
      <formula>RIGHT(J659,LEN("x"))="x"</formula>
    </cfRule>
  </conditionalFormatting>
  <conditionalFormatting sqref="J659">
    <cfRule type="cellIs" dxfId="695" priority="767" operator="greaterThan">
      <formula>0</formula>
    </cfRule>
  </conditionalFormatting>
  <conditionalFormatting sqref="K659">
    <cfRule type="endsWith" dxfId="694" priority="766" operator="endsWith" text="x">
      <formula>RIGHT(K659,LEN("x"))="x"</formula>
    </cfRule>
  </conditionalFormatting>
  <conditionalFormatting sqref="K659">
    <cfRule type="cellIs" dxfId="693" priority="765" operator="greaterThan">
      <formula>0</formula>
    </cfRule>
  </conditionalFormatting>
  <conditionalFormatting sqref="I667">
    <cfRule type="endsWith" dxfId="692" priority="764" operator="endsWith" text="x">
      <formula>RIGHT(I667,LEN("x"))="x"</formula>
    </cfRule>
  </conditionalFormatting>
  <conditionalFormatting sqref="I667">
    <cfRule type="cellIs" dxfId="691" priority="763" operator="greaterThan">
      <formula>0</formula>
    </cfRule>
  </conditionalFormatting>
  <conditionalFormatting sqref="J667">
    <cfRule type="endsWith" dxfId="690" priority="762" operator="endsWith" text="x">
      <formula>RIGHT(J667,LEN("x"))="x"</formula>
    </cfRule>
  </conditionalFormatting>
  <conditionalFormatting sqref="J667">
    <cfRule type="cellIs" dxfId="689" priority="761" operator="greaterThan">
      <formula>0</formula>
    </cfRule>
  </conditionalFormatting>
  <conditionalFormatting sqref="K667">
    <cfRule type="endsWith" dxfId="688" priority="760" operator="endsWith" text="x">
      <formula>RIGHT(K667,LEN("x"))="x"</formula>
    </cfRule>
  </conditionalFormatting>
  <conditionalFormatting sqref="K667">
    <cfRule type="cellIs" dxfId="687" priority="759" operator="greaterThan">
      <formula>0</formula>
    </cfRule>
  </conditionalFormatting>
  <conditionalFormatting sqref="I675">
    <cfRule type="endsWith" dxfId="686" priority="758" operator="endsWith" text="x">
      <formula>RIGHT(I675,LEN("x"))="x"</formula>
    </cfRule>
  </conditionalFormatting>
  <conditionalFormatting sqref="I675">
    <cfRule type="cellIs" dxfId="685" priority="757" operator="greaterThan">
      <formula>0</formula>
    </cfRule>
  </conditionalFormatting>
  <conditionalFormatting sqref="J675">
    <cfRule type="endsWith" dxfId="684" priority="756" operator="endsWith" text="x">
      <formula>RIGHT(J675,LEN("x"))="x"</formula>
    </cfRule>
  </conditionalFormatting>
  <conditionalFormatting sqref="J675">
    <cfRule type="cellIs" dxfId="683" priority="755" operator="greaterThan">
      <formula>0</formula>
    </cfRule>
  </conditionalFormatting>
  <conditionalFormatting sqref="K675">
    <cfRule type="endsWith" dxfId="682" priority="754" operator="endsWith" text="x">
      <formula>RIGHT(K675,LEN("x"))="x"</formula>
    </cfRule>
  </conditionalFormatting>
  <conditionalFormatting sqref="K675">
    <cfRule type="cellIs" dxfId="681" priority="753" operator="greaterThan">
      <formula>0</formula>
    </cfRule>
  </conditionalFormatting>
  <conditionalFormatting sqref="I683">
    <cfRule type="endsWith" dxfId="680" priority="752" operator="endsWith" text="x">
      <formula>RIGHT(I683,LEN("x"))="x"</formula>
    </cfRule>
  </conditionalFormatting>
  <conditionalFormatting sqref="I683">
    <cfRule type="cellIs" dxfId="679" priority="751" operator="greaterThan">
      <formula>0</formula>
    </cfRule>
  </conditionalFormatting>
  <conditionalFormatting sqref="J683">
    <cfRule type="endsWith" dxfId="678" priority="750" operator="endsWith" text="x">
      <formula>RIGHT(J683,LEN("x"))="x"</formula>
    </cfRule>
  </conditionalFormatting>
  <conditionalFormatting sqref="J683">
    <cfRule type="cellIs" dxfId="677" priority="749" operator="greaterThan">
      <formula>0</formula>
    </cfRule>
  </conditionalFormatting>
  <conditionalFormatting sqref="I693">
    <cfRule type="endsWith" dxfId="676" priority="748" operator="endsWith" text="x">
      <formula>RIGHT(I693,LEN("x"))="x"</formula>
    </cfRule>
  </conditionalFormatting>
  <conditionalFormatting sqref="I693">
    <cfRule type="cellIs" dxfId="675" priority="747" operator="greaterThan">
      <formula>0</formula>
    </cfRule>
  </conditionalFormatting>
  <conditionalFormatting sqref="J693">
    <cfRule type="endsWith" dxfId="674" priority="746" operator="endsWith" text="x">
      <formula>RIGHT(J693,LEN("x"))="x"</formula>
    </cfRule>
  </conditionalFormatting>
  <conditionalFormatting sqref="J693">
    <cfRule type="cellIs" dxfId="673" priority="745" operator="greaterThan">
      <formula>0</formula>
    </cfRule>
  </conditionalFormatting>
  <conditionalFormatting sqref="K693">
    <cfRule type="endsWith" dxfId="672" priority="744" operator="endsWith" text="x">
      <formula>RIGHT(K693,LEN("x"))="x"</formula>
    </cfRule>
  </conditionalFormatting>
  <conditionalFormatting sqref="K693">
    <cfRule type="cellIs" dxfId="671" priority="743" operator="greaterThan">
      <formula>0</formula>
    </cfRule>
  </conditionalFormatting>
  <conditionalFormatting sqref="I706">
    <cfRule type="endsWith" dxfId="670" priority="742" operator="endsWith" text="x">
      <formula>RIGHT(I706,LEN("x"))="x"</formula>
    </cfRule>
  </conditionalFormatting>
  <conditionalFormatting sqref="I706">
    <cfRule type="cellIs" dxfId="669" priority="741" operator="greaterThan">
      <formula>0</formula>
    </cfRule>
  </conditionalFormatting>
  <conditionalFormatting sqref="J706">
    <cfRule type="endsWith" dxfId="668" priority="740" operator="endsWith" text="x">
      <formula>RIGHT(J706,LEN("x"))="x"</formula>
    </cfRule>
  </conditionalFormatting>
  <conditionalFormatting sqref="J706">
    <cfRule type="cellIs" dxfId="667" priority="739" operator="greaterThan">
      <formula>0</formula>
    </cfRule>
  </conditionalFormatting>
  <conditionalFormatting sqref="K706">
    <cfRule type="endsWith" dxfId="666" priority="738" operator="endsWith" text="x">
      <formula>RIGHT(K706,LEN("x"))="x"</formula>
    </cfRule>
  </conditionalFormatting>
  <conditionalFormatting sqref="K706">
    <cfRule type="cellIs" dxfId="665" priority="737" operator="greaterThan">
      <formula>0</formula>
    </cfRule>
  </conditionalFormatting>
  <conditionalFormatting sqref="I719">
    <cfRule type="endsWith" dxfId="664" priority="736" operator="endsWith" text="x">
      <formula>RIGHT(I719,LEN("x"))="x"</formula>
    </cfRule>
  </conditionalFormatting>
  <conditionalFormatting sqref="I719">
    <cfRule type="cellIs" dxfId="663" priority="735" operator="greaterThan">
      <formula>0</formula>
    </cfRule>
  </conditionalFormatting>
  <conditionalFormatting sqref="J719">
    <cfRule type="endsWith" dxfId="662" priority="734" operator="endsWith" text="x">
      <formula>RIGHT(J719,LEN("x"))="x"</formula>
    </cfRule>
  </conditionalFormatting>
  <conditionalFormatting sqref="J719">
    <cfRule type="cellIs" dxfId="661" priority="733" operator="greaterThan">
      <formula>0</formula>
    </cfRule>
  </conditionalFormatting>
  <conditionalFormatting sqref="K719">
    <cfRule type="endsWith" dxfId="660" priority="732" operator="endsWith" text="x">
      <formula>RIGHT(K719,LEN("x"))="x"</formula>
    </cfRule>
  </conditionalFormatting>
  <conditionalFormatting sqref="K719">
    <cfRule type="cellIs" dxfId="659" priority="731" operator="greaterThan">
      <formula>0</formula>
    </cfRule>
  </conditionalFormatting>
  <conditionalFormatting sqref="I732">
    <cfRule type="endsWith" dxfId="658" priority="730" operator="endsWith" text="x">
      <formula>RIGHT(I732,LEN("x"))="x"</formula>
    </cfRule>
  </conditionalFormatting>
  <conditionalFormatting sqref="I732">
    <cfRule type="cellIs" dxfId="657" priority="729" operator="greaterThan">
      <formula>0</formula>
    </cfRule>
  </conditionalFormatting>
  <conditionalFormatting sqref="J732">
    <cfRule type="endsWith" dxfId="656" priority="728" operator="endsWith" text="x">
      <formula>RIGHT(J732,LEN("x"))="x"</formula>
    </cfRule>
  </conditionalFormatting>
  <conditionalFormatting sqref="J732">
    <cfRule type="cellIs" dxfId="655" priority="727" operator="greaterThan">
      <formula>0</formula>
    </cfRule>
  </conditionalFormatting>
  <conditionalFormatting sqref="K732">
    <cfRule type="endsWith" dxfId="654" priority="726" operator="endsWith" text="x">
      <formula>RIGHT(K732,LEN("x"))="x"</formula>
    </cfRule>
  </conditionalFormatting>
  <conditionalFormatting sqref="K732">
    <cfRule type="cellIs" dxfId="653" priority="725" operator="greaterThan">
      <formula>0</formula>
    </cfRule>
  </conditionalFormatting>
  <conditionalFormatting sqref="I745">
    <cfRule type="endsWith" dxfId="652" priority="724" operator="endsWith" text="x">
      <formula>RIGHT(I745,LEN("x"))="x"</formula>
    </cfRule>
  </conditionalFormatting>
  <conditionalFormatting sqref="I745">
    <cfRule type="cellIs" dxfId="651" priority="723" operator="greaterThan">
      <formula>0</formula>
    </cfRule>
  </conditionalFormatting>
  <conditionalFormatting sqref="J745">
    <cfRule type="endsWith" dxfId="650" priority="722" operator="endsWith" text="x">
      <formula>RIGHT(J745,LEN("x"))="x"</formula>
    </cfRule>
  </conditionalFormatting>
  <conditionalFormatting sqref="J745">
    <cfRule type="cellIs" dxfId="649" priority="721" operator="greaterThan">
      <formula>0</formula>
    </cfRule>
  </conditionalFormatting>
  <conditionalFormatting sqref="K745">
    <cfRule type="endsWith" dxfId="648" priority="720" operator="endsWith" text="x">
      <formula>RIGHT(K745,LEN("x"))="x"</formula>
    </cfRule>
  </conditionalFormatting>
  <conditionalFormatting sqref="K745">
    <cfRule type="cellIs" dxfId="647" priority="719" operator="greaterThan">
      <formula>0</formula>
    </cfRule>
  </conditionalFormatting>
  <conditionalFormatting sqref="I758">
    <cfRule type="endsWith" dxfId="646" priority="718" operator="endsWith" text="x">
      <formula>RIGHT(I758,LEN("x"))="x"</formula>
    </cfRule>
  </conditionalFormatting>
  <conditionalFormatting sqref="I758">
    <cfRule type="cellIs" dxfId="645" priority="717" operator="greaterThan">
      <formula>0</formula>
    </cfRule>
  </conditionalFormatting>
  <conditionalFormatting sqref="J758">
    <cfRule type="endsWith" dxfId="644" priority="716" operator="endsWith" text="x">
      <formula>RIGHT(J758,LEN("x"))="x"</formula>
    </cfRule>
  </conditionalFormatting>
  <conditionalFormatting sqref="J758">
    <cfRule type="cellIs" dxfId="643" priority="715" operator="greaterThan">
      <formula>0</formula>
    </cfRule>
  </conditionalFormatting>
  <conditionalFormatting sqref="K758">
    <cfRule type="endsWith" dxfId="642" priority="714" operator="endsWith" text="x">
      <formula>RIGHT(K758,LEN("x"))="x"</formula>
    </cfRule>
  </conditionalFormatting>
  <conditionalFormatting sqref="K758">
    <cfRule type="cellIs" dxfId="641" priority="713" operator="greaterThan">
      <formula>0</formula>
    </cfRule>
  </conditionalFormatting>
  <conditionalFormatting sqref="I771">
    <cfRule type="endsWith" dxfId="640" priority="712" operator="endsWith" text="x">
      <formula>RIGHT(I771,LEN("x"))="x"</formula>
    </cfRule>
  </conditionalFormatting>
  <conditionalFormatting sqref="I771">
    <cfRule type="cellIs" dxfId="639" priority="711" operator="greaterThan">
      <formula>0</formula>
    </cfRule>
  </conditionalFormatting>
  <conditionalFormatting sqref="J771">
    <cfRule type="endsWith" dxfId="638" priority="710" operator="endsWith" text="x">
      <formula>RIGHT(J771,LEN("x"))="x"</formula>
    </cfRule>
  </conditionalFormatting>
  <conditionalFormatting sqref="J771">
    <cfRule type="cellIs" dxfId="637" priority="709" operator="greaterThan">
      <formula>0</formula>
    </cfRule>
  </conditionalFormatting>
  <conditionalFormatting sqref="K771">
    <cfRule type="endsWith" dxfId="636" priority="708" operator="endsWith" text="x">
      <formula>RIGHT(K771,LEN("x"))="x"</formula>
    </cfRule>
  </conditionalFormatting>
  <conditionalFormatting sqref="K771">
    <cfRule type="cellIs" dxfId="635" priority="707" operator="greaterThan">
      <formula>0</formula>
    </cfRule>
  </conditionalFormatting>
  <conditionalFormatting sqref="I784">
    <cfRule type="endsWith" dxfId="634" priority="706" operator="endsWith" text="x">
      <formula>RIGHT(I784,LEN("x"))="x"</formula>
    </cfRule>
  </conditionalFormatting>
  <conditionalFormatting sqref="I784">
    <cfRule type="cellIs" dxfId="633" priority="705" operator="greaterThan">
      <formula>0</formula>
    </cfRule>
  </conditionalFormatting>
  <conditionalFormatting sqref="J784">
    <cfRule type="endsWith" dxfId="632" priority="704" operator="endsWith" text="x">
      <formula>RIGHT(J784,LEN("x"))="x"</formula>
    </cfRule>
  </conditionalFormatting>
  <conditionalFormatting sqref="J784">
    <cfRule type="cellIs" dxfId="631" priority="703" operator="greaterThan">
      <formula>0</formula>
    </cfRule>
  </conditionalFormatting>
  <conditionalFormatting sqref="K784">
    <cfRule type="endsWith" dxfId="630" priority="702" operator="endsWith" text="x">
      <formula>RIGHT(K784,LEN("x"))="x"</formula>
    </cfRule>
  </conditionalFormatting>
  <conditionalFormatting sqref="K784">
    <cfRule type="cellIs" dxfId="629" priority="701" operator="greaterThan">
      <formula>0</formula>
    </cfRule>
  </conditionalFormatting>
  <conditionalFormatting sqref="I797">
    <cfRule type="endsWith" dxfId="628" priority="700" operator="endsWith" text="x">
      <formula>RIGHT(I797,LEN("x"))="x"</formula>
    </cfRule>
  </conditionalFormatting>
  <conditionalFormatting sqref="I797">
    <cfRule type="cellIs" dxfId="627" priority="699" operator="greaterThan">
      <formula>0</formula>
    </cfRule>
  </conditionalFormatting>
  <conditionalFormatting sqref="J797">
    <cfRule type="endsWith" dxfId="626" priority="698" operator="endsWith" text="x">
      <formula>RIGHT(J797,LEN("x"))="x"</formula>
    </cfRule>
  </conditionalFormatting>
  <conditionalFormatting sqref="J797">
    <cfRule type="cellIs" dxfId="625" priority="697" operator="greaterThan">
      <formula>0</formula>
    </cfRule>
  </conditionalFormatting>
  <conditionalFormatting sqref="K797">
    <cfRule type="endsWith" dxfId="624" priority="696" operator="endsWith" text="x">
      <formula>RIGHT(K797,LEN("x"))="x"</formula>
    </cfRule>
  </conditionalFormatting>
  <conditionalFormatting sqref="K797">
    <cfRule type="cellIs" dxfId="623" priority="695" operator="greaterThan">
      <formula>0</formula>
    </cfRule>
  </conditionalFormatting>
  <conditionalFormatting sqref="I801">
    <cfRule type="endsWith" dxfId="622" priority="694" operator="endsWith" text="x">
      <formula>RIGHT(I801,LEN("x"))="x"</formula>
    </cfRule>
  </conditionalFormatting>
  <conditionalFormatting sqref="I801">
    <cfRule type="cellIs" dxfId="621" priority="693" operator="greaterThan">
      <formula>0</formula>
    </cfRule>
  </conditionalFormatting>
  <conditionalFormatting sqref="I810">
    <cfRule type="endsWith" dxfId="620" priority="692" operator="endsWith" text="x">
      <formula>RIGHT(I810,LEN("x"))="x"</formula>
    </cfRule>
  </conditionalFormatting>
  <conditionalFormatting sqref="I810">
    <cfRule type="cellIs" dxfId="619" priority="691" operator="greaterThan">
      <formula>0</formula>
    </cfRule>
  </conditionalFormatting>
  <conditionalFormatting sqref="J810">
    <cfRule type="endsWith" dxfId="618" priority="690" operator="endsWith" text="x">
      <formula>RIGHT(J810,LEN("x"))="x"</formula>
    </cfRule>
  </conditionalFormatting>
  <conditionalFormatting sqref="J810">
    <cfRule type="cellIs" dxfId="617" priority="689" operator="greaterThan">
      <formula>0</formula>
    </cfRule>
  </conditionalFormatting>
  <conditionalFormatting sqref="K810">
    <cfRule type="endsWith" dxfId="616" priority="688" operator="endsWith" text="x">
      <formula>RIGHT(K810,LEN("x"))="x"</formula>
    </cfRule>
  </conditionalFormatting>
  <conditionalFormatting sqref="K810">
    <cfRule type="cellIs" dxfId="615" priority="687" operator="greaterThan">
      <formula>0</formula>
    </cfRule>
  </conditionalFormatting>
  <conditionalFormatting sqref="I814">
    <cfRule type="endsWith" dxfId="614" priority="686" operator="endsWith" text="x">
      <formula>RIGHT(I814,LEN("x"))="x"</formula>
    </cfRule>
  </conditionalFormatting>
  <conditionalFormatting sqref="I814">
    <cfRule type="cellIs" dxfId="613" priority="685" operator="greaterThan">
      <formula>0</formula>
    </cfRule>
  </conditionalFormatting>
  <conditionalFormatting sqref="H831">
    <cfRule type="endsWith" dxfId="612" priority="684" operator="endsWith" text="x">
      <formula>RIGHT(H831,LEN("x"))="x"</formula>
    </cfRule>
  </conditionalFormatting>
  <conditionalFormatting sqref="H831">
    <cfRule type="cellIs" dxfId="611" priority="683" operator="greaterThan">
      <formula>0</formula>
    </cfRule>
  </conditionalFormatting>
  <conditionalFormatting sqref="I831">
    <cfRule type="endsWith" dxfId="610" priority="682" operator="endsWith" text="x">
      <formula>RIGHT(I831,LEN("x"))="x"</formula>
    </cfRule>
  </conditionalFormatting>
  <conditionalFormatting sqref="I831">
    <cfRule type="cellIs" dxfId="609" priority="681" operator="greaterThan">
      <formula>0</formula>
    </cfRule>
  </conditionalFormatting>
  <conditionalFormatting sqref="J831">
    <cfRule type="endsWith" dxfId="608" priority="680" operator="endsWith" text="x">
      <formula>RIGHT(J831,LEN("x"))="x"</formula>
    </cfRule>
  </conditionalFormatting>
  <conditionalFormatting sqref="J831">
    <cfRule type="cellIs" dxfId="607" priority="679" operator="greaterThan">
      <formula>0</formula>
    </cfRule>
  </conditionalFormatting>
  <conditionalFormatting sqref="I823">
    <cfRule type="endsWith" dxfId="606" priority="678" operator="endsWith" text="x">
      <formula>RIGHT(I823,LEN("x"))="x"</formula>
    </cfRule>
  </conditionalFormatting>
  <conditionalFormatting sqref="I823">
    <cfRule type="cellIs" dxfId="605" priority="677" operator="greaterThan">
      <formula>0</formula>
    </cfRule>
  </conditionalFormatting>
  <conditionalFormatting sqref="H823">
    <cfRule type="endsWith" dxfId="604" priority="676" operator="endsWith" text="x">
      <formula>RIGHT(H823,LEN("x"))="x"</formula>
    </cfRule>
  </conditionalFormatting>
  <conditionalFormatting sqref="H823">
    <cfRule type="cellIs" dxfId="603" priority="675" operator="greaterThan">
      <formula>0</formula>
    </cfRule>
  </conditionalFormatting>
  <conditionalFormatting sqref="H837">
    <cfRule type="endsWith" dxfId="602" priority="674" operator="endsWith" text="x">
      <formula>RIGHT(H837,LEN("x"))="x"</formula>
    </cfRule>
  </conditionalFormatting>
  <conditionalFormatting sqref="H837">
    <cfRule type="cellIs" dxfId="601" priority="673" operator="greaterThan">
      <formula>0</formula>
    </cfRule>
  </conditionalFormatting>
  <conditionalFormatting sqref="I837">
    <cfRule type="endsWith" dxfId="600" priority="672" operator="endsWith" text="x">
      <formula>RIGHT(I837,LEN("x"))="x"</formula>
    </cfRule>
  </conditionalFormatting>
  <conditionalFormatting sqref="I837">
    <cfRule type="cellIs" dxfId="599" priority="671" operator="greaterThan">
      <formula>0</formula>
    </cfRule>
  </conditionalFormatting>
  <conditionalFormatting sqref="J837">
    <cfRule type="endsWith" dxfId="598" priority="670" operator="endsWith" text="x">
      <formula>RIGHT(J837,LEN("x"))="x"</formula>
    </cfRule>
  </conditionalFormatting>
  <conditionalFormatting sqref="J837">
    <cfRule type="cellIs" dxfId="597" priority="669" operator="greaterThan">
      <formula>0</formula>
    </cfRule>
  </conditionalFormatting>
  <conditionalFormatting sqref="I843">
    <cfRule type="endsWith" dxfId="596" priority="668" operator="endsWith" text="x">
      <formula>RIGHT(I843,LEN("x"))="x"</formula>
    </cfRule>
  </conditionalFormatting>
  <conditionalFormatting sqref="I843">
    <cfRule type="cellIs" dxfId="595" priority="667" operator="greaterThan">
      <formula>0</formula>
    </cfRule>
  </conditionalFormatting>
  <conditionalFormatting sqref="J843">
    <cfRule type="endsWith" dxfId="594" priority="666" operator="endsWith" text="x">
      <formula>RIGHT(J843,LEN("x"))="x"</formula>
    </cfRule>
  </conditionalFormatting>
  <conditionalFormatting sqref="J843">
    <cfRule type="cellIs" dxfId="593" priority="665" operator="greaterThan">
      <formula>0</formula>
    </cfRule>
  </conditionalFormatting>
  <conditionalFormatting sqref="K843">
    <cfRule type="endsWith" dxfId="592" priority="664" operator="endsWith" text="x">
      <formula>RIGHT(K843,LEN("x"))="x"</formula>
    </cfRule>
  </conditionalFormatting>
  <conditionalFormatting sqref="K843">
    <cfRule type="cellIs" dxfId="591" priority="663" operator="greaterThan">
      <formula>0</formula>
    </cfRule>
  </conditionalFormatting>
  <conditionalFormatting sqref="N150">
    <cfRule type="endsWith" dxfId="590" priority="660" operator="endsWith" text="x">
      <formula>RIGHT(N150,LEN("x"))="x"</formula>
    </cfRule>
  </conditionalFormatting>
  <conditionalFormatting sqref="N150">
    <cfRule type="cellIs" dxfId="589" priority="659" operator="greaterThan">
      <formula>0</formula>
    </cfRule>
  </conditionalFormatting>
  <conditionalFormatting sqref="N150">
    <cfRule type="cellIs" dxfId="588" priority="658" operator="greaterThan">
      <formula>0</formula>
    </cfRule>
  </conditionalFormatting>
  <conditionalFormatting sqref="E543">
    <cfRule type="endsWith" dxfId="587" priority="629" operator="endsWith" text="x">
      <formula>RIGHT(E543,LEN("x"))="x"</formula>
    </cfRule>
  </conditionalFormatting>
  <conditionalFormatting sqref="A542:G542 A543:B543 D543 F543:G543 G544">
    <cfRule type="endsWith" dxfId="586" priority="654" operator="endsWith" text="x">
      <formula>RIGHT(A542,LEN("x"))="x"</formula>
    </cfRule>
  </conditionalFormatting>
  <conditionalFormatting sqref="M107:M115">
    <cfRule type="endsWith" dxfId="585" priority="603" operator="endsWith" text="x">
      <formula>RIGHT(M107,LEN("x"))="x"</formula>
    </cfRule>
  </conditionalFormatting>
  <conditionalFormatting sqref="I542:K542">
    <cfRule type="endsWith" dxfId="584" priority="650" operator="endsWith" text="x">
      <formula>RIGHT(I542,LEN("x"))="x"</formula>
    </cfRule>
  </conditionalFormatting>
  <conditionalFormatting sqref="A543:B543 D543 F543:G543 G544">
    <cfRule type="endsWith" dxfId="583" priority="653" operator="endsWith" text="x">
      <formula>RIGHT(A543,LEN("x"))="x"</formula>
    </cfRule>
  </conditionalFormatting>
  <conditionalFormatting sqref="M85:M93">
    <cfRule type="endsWith" dxfId="582" priority="605" operator="endsWith" text="x">
      <formula>RIGHT(M85,LEN("x"))="x"</formula>
    </cfRule>
  </conditionalFormatting>
  <conditionalFormatting sqref="M95:M105">
    <cfRule type="endsWith" dxfId="581" priority="604" operator="endsWith" text="x">
      <formula>RIGHT(M95,LEN("x"))="x"</formula>
    </cfRule>
  </conditionalFormatting>
  <conditionalFormatting sqref="M119:M120">
    <cfRule type="endsWith" dxfId="580" priority="602" operator="endsWith" text="x">
      <formula>RIGHT(M119,LEN("x"))="x"</formula>
    </cfRule>
  </conditionalFormatting>
  <conditionalFormatting sqref="H543">
    <cfRule type="endsWith" dxfId="579" priority="643" operator="endsWith" text="x">
      <formula>RIGHT(H543,LEN("x"))="x"</formula>
    </cfRule>
  </conditionalFormatting>
  <conditionalFormatting sqref="H545">
    <cfRule type="endsWith" dxfId="578" priority="642" operator="endsWith" text="x">
      <formula>RIGHT(H545,LEN("x"))="x"</formula>
    </cfRule>
  </conditionalFormatting>
  <conditionalFormatting sqref="I545">
    <cfRule type="endsWith" dxfId="577" priority="641" operator="endsWith" text="x">
      <formula>RIGHT(I545,LEN("x"))="x"</formula>
    </cfRule>
  </conditionalFormatting>
  <conditionalFormatting sqref="J545">
    <cfRule type="endsWith" dxfId="576" priority="640" operator="endsWith" text="x">
      <formula>RIGHT(J545,LEN("x"))="x"</formula>
    </cfRule>
  </conditionalFormatting>
  <conditionalFormatting sqref="K545">
    <cfRule type="endsWith" dxfId="575" priority="639" operator="endsWith" text="x">
      <formula>RIGHT(K545,LEN("x"))="x"</formula>
    </cfRule>
  </conditionalFormatting>
  <conditionalFormatting sqref="I543">
    <cfRule type="endsWith" dxfId="574" priority="638" operator="endsWith" text="x">
      <formula>RIGHT(I543,LEN("x"))="x"</formula>
    </cfRule>
  </conditionalFormatting>
  <conditionalFormatting sqref="I543">
    <cfRule type="cellIs" dxfId="573" priority="637" operator="greaterThan">
      <formula>0</formula>
    </cfRule>
  </conditionalFormatting>
  <conditionalFormatting sqref="J543">
    <cfRule type="endsWith" dxfId="572" priority="636" operator="endsWith" text="x">
      <formula>RIGHT(J543,LEN("x"))="x"</formula>
    </cfRule>
  </conditionalFormatting>
  <conditionalFormatting sqref="J543">
    <cfRule type="cellIs" dxfId="571" priority="635" operator="greaterThan">
      <formula>0</formula>
    </cfRule>
  </conditionalFormatting>
  <conditionalFormatting sqref="K543">
    <cfRule type="endsWith" dxfId="570" priority="634" operator="endsWith" text="x">
      <formula>RIGHT(K543,LEN("x"))="x"</formula>
    </cfRule>
  </conditionalFormatting>
  <conditionalFormatting sqref="K543">
    <cfRule type="cellIs" dxfId="569" priority="633" operator="greaterThan">
      <formula>0</formula>
    </cfRule>
  </conditionalFormatting>
  <conditionalFormatting sqref="C543">
    <cfRule type="endsWith" dxfId="568" priority="632" operator="endsWith" text="x">
      <formula>RIGHT(C543,LEN("x"))="x"</formula>
    </cfRule>
  </conditionalFormatting>
  <conditionalFormatting sqref="C543">
    <cfRule type="endsWith" dxfId="567" priority="631" operator="endsWith" text="x">
      <formula>RIGHT(C543,LEN("x"))="x"</formula>
    </cfRule>
  </conditionalFormatting>
  <conditionalFormatting sqref="E543">
    <cfRule type="endsWith" dxfId="566" priority="630" operator="endsWith" text="x">
      <formula>RIGHT(E543,LEN("x"))="x"</formula>
    </cfRule>
  </conditionalFormatting>
  <conditionalFormatting sqref="A24:E24">
    <cfRule type="expression" dxfId="565" priority="616">
      <formula>$I$89="x"</formula>
    </cfRule>
  </conditionalFormatting>
  <conditionalFormatting sqref="N14">
    <cfRule type="endsWith" dxfId="564" priority="614" operator="endsWith" text="x">
      <formula>RIGHT(N14,LEN("x"))="x"</formula>
    </cfRule>
  </conditionalFormatting>
  <conditionalFormatting sqref="N15:N21">
    <cfRule type="endsWith" dxfId="563" priority="613" operator="endsWith" text="x">
      <formula>RIGHT(N15,LEN("x"))="x"</formula>
    </cfRule>
  </conditionalFormatting>
  <conditionalFormatting sqref="C75">
    <cfRule type="endsWith" dxfId="562" priority="612" operator="endsWith" text="x">
      <formula>RIGHT(C75,LEN("x"))="x"</formula>
    </cfRule>
  </conditionalFormatting>
  <conditionalFormatting sqref="C76:C83">
    <cfRule type="endsWith" dxfId="561" priority="611" operator="endsWith" text="x">
      <formula>RIGHT(C76,LEN("x"))="x"</formula>
    </cfRule>
  </conditionalFormatting>
  <conditionalFormatting sqref="C87:C111">
    <cfRule type="endsWith" dxfId="560" priority="610" operator="endsWith" text="x">
      <formula>RIGHT(C87,LEN("x"))="x"</formula>
    </cfRule>
  </conditionalFormatting>
  <conditionalFormatting sqref="C113:C119">
    <cfRule type="endsWith" dxfId="559" priority="609" operator="endsWith" text="x">
      <formula>RIGHT(C113,LEN("x"))="x"</formula>
    </cfRule>
  </conditionalFormatting>
  <conditionalFormatting sqref="I75:I92">
    <cfRule type="endsWith" dxfId="558" priority="608" operator="endsWith" text="x">
      <formula>RIGHT(I75,LEN("x"))="x"</formula>
    </cfRule>
  </conditionalFormatting>
  <conditionalFormatting sqref="M75:M76">
    <cfRule type="endsWith" dxfId="557" priority="607" operator="endsWith" text="x">
      <formula>RIGHT(M75,LEN("x"))="x"</formula>
    </cfRule>
  </conditionalFormatting>
  <conditionalFormatting sqref="M78:M81">
    <cfRule type="endsWith" dxfId="556" priority="606" operator="endsWith" text="x">
      <formula>RIGHT(M78,LEN("x"))="x"</formula>
    </cfRule>
  </conditionalFormatting>
  <conditionalFormatting sqref="H838">
    <cfRule type="endsWith" dxfId="555" priority="598" operator="endsWith" text="x">
      <formula>RIGHT(H838,LEN("x"))="x"</formula>
    </cfRule>
  </conditionalFormatting>
  <conditionalFormatting sqref="H838">
    <cfRule type="endsWith" dxfId="554" priority="597" operator="endsWith" text="x">
      <formula>RIGHT(H838,LEN("x"))="x"</formula>
    </cfRule>
  </conditionalFormatting>
  <conditionalFormatting sqref="H838">
    <cfRule type="endsWith" dxfId="553" priority="596" operator="endsWith" text="x">
      <formula>RIGHT(H838,LEN("x"))="x"</formula>
    </cfRule>
  </conditionalFormatting>
  <conditionalFormatting sqref="H832">
    <cfRule type="endsWith" dxfId="552" priority="595" operator="endsWith" text="x">
      <formula>RIGHT(H832,LEN("x"))="x"</formula>
    </cfRule>
  </conditionalFormatting>
  <conditionalFormatting sqref="H832">
    <cfRule type="endsWith" dxfId="551" priority="594" operator="endsWith" text="x">
      <formula>RIGHT(H832,LEN("x"))="x"</formula>
    </cfRule>
  </conditionalFormatting>
  <conditionalFormatting sqref="H832">
    <cfRule type="endsWith" dxfId="550" priority="593" operator="endsWith" text="x">
      <formula>RIGHT(H832,LEN("x"))="x"</formula>
    </cfRule>
  </conditionalFormatting>
  <conditionalFormatting sqref="H824">
    <cfRule type="endsWith" dxfId="549" priority="592" operator="endsWith" text="x">
      <formula>RIGHT(H824,LEN("x"))="x"</formula>
    </cfRule>
  </conditionalFormatting>
  <conditionalFormatting sqref="H824">
    <cfRule type="endsWith" dxfId="548" priority="591" operator="endsWith" text="x">
      <formula>RIGHT(H824,LEN("x"))="x"</formula>
    </cfRule>
  </conditionalFormatting>
  <conditionalFormatting sqref="H824">
    <cfRule type="endsWith" dxfId="547" priority="590" operator="endsWith" text="x">
      <formula>RIGHT(H824,LEN("x"))="x"</formula>
    </cfRule>
  </conditionalFormatting>
  <conditionalFormatting sqref="H811">
    <cfRule type="endsWith" dxfId="546" priority="589" operator="endsWith" text="x">
      <formula>RIGHT(H811,LEN("x"))="x"</formula>
    </cfRule>
  </conditionalFormatting>
  <conditionalFormatting sqref="H811">
    <cfRule type="endsWith" dxfId="545" priority="588" operator="endsWith" text="x">
      <formula>RIGHT(H811,LEN("x"))="x"</formula>
    </cfRule>
  </conditionalFormatting>
  <conditionalFormatting sqref="H811">
    <cfRule type="endsWith" dxfId="544" priority="587" operator="endsWith" text="x">
      <formula>RIGHT(H811,LEN("x"))="x"</formula>
    </cfRule>
  </conditionalFormatting>
  <conditionalFormatting sqref="H798">
    <cfRule type="endsWith" dxfId="543" priority="586" operator="endsWith" text="x">
      <formula>RIGHT(H798,LEN("x"))="x"</formula>
    </cfRule>
  </conditionalFormatting>
  <conditionalFormatting sqref="H798">
    <cfRule type="endsWith" dxfId="542" priority="585" operator="endsWith" text="x">
      <formula>RIGHT(H798,LEN("x"))="x"</formula>
    </cfRule>
  </conditionalFormatting>
  <conditionalFormatting sqref="H798">
    <cfRule type="endsWith" dxfId="541" priority="584" operator="endsWith" text="x">
      <formula>RIGHT(H798,LEN("x"))="x"</formula>
    </cfRule>
  </conditionalFormatting>
  <conditionalFormatting sqref="H785">
    <cfRule type="endsWith" dxfId="540" priority="583" operator="endsWith" text="x">
      <formula>RIGHT(H785,LEN("x"))="x"</formula>
    </cfRule>
  </conditionalFormatting>
  <conditionalFormatting sqref="H785">
    <cfRule type="endsWith" dxfId="539" priority="582" operator="endsWith" text="x">
      <formula>RIGHT(H785,LEN("x"))="x"</formula>
    </cfRule>
  </conditionalFormatting>
  <conditionalFormatting sqref="H785">
    <cfRule type="endsWith" dxfId="538" priority="581" operator="endsWith" text="x">
      <formula>RIGHT(H785,LEN("x"))="x"</formula>
    </cfRule>
  </conditionalFormatting>
  <conditionalFormatting sqref="H772">
    <cfRule type="endsWith" dxfId="537" priority="580" operator="endsWith" text="x">
      <formula>RIGHT(H772,LEN("x"))="x"</formula>
    </cfRule>
  </conditionalFormatting>
  <conditionalFormatting sqref="H772">
    <cfRule type="endsWith" dxfId="536" priority="579" operator="endsWith" text="x">
      <formula>RIGHT(H772,LEN("x"))="x"</formula>
    </cfRule>
  </conditionalFormatting>
  <conditionalFormatting sqref="H772">
    <cfRule type="endsWith" dxfId="535" priority="578" operator="endsWith" text="x">
      <formula>RIGHT(H772,LEN("x"))="x"</formula>
    </cfRule>
  </conditionalFormatting>
  <conditionalFormatting sqref="H759">
    <cfRule type="endsWith" dxfId="534" priority="577" operator="endsWith" text="x">
      <formula>RIGHT(H759,LEN("x"))="x"</formula>
    </cfRule>
  </conditionalFormatting>
  <conditionalFormatting sqref="H759">
    <cfRule type="endsWith" dxfId="533" priority="576" operator="endsWith" text="x">
      <formula>RIGHT(H759,LEN("x"))="x"</formula>
    </cfRule>
  </conditionalFormatting>
  <conditionalFormatting sqref="H759">
    <cfRule type="endsWith" dxfId="532" priority="575" operator="endsWith" text="x">
      <formula>RIGHT(H759,LEN("x"))="x"</formula>
    </cfRule>
  </conditionalFormatting>
  <conditionalFormatting sqref="H746">
    <cfRule type="endsWith" dxfId="531" priority="574" operator="endsWith" text="x">
      <formula>RIGHT(H746,LEN("x"))="x"</formula>
    </cfRule>
  </conditionalFormatting>
  <conditionalFormatting sqref="H746">
    <cfRule type="endsWith" dxfId="530" priority="573" operator="endsWith" text="x">
      <formula>RIGHT(H746,LEN("x"))="x"</formula>
    </cfRule>
  </conditionalFormatting>
  <conditionalFormatting sqref="H746">
    <cfRule type="endsWith" dxfId="529" priority="572" operator="endsWith" text="x">
      <formula>RIGHT(H746,LEN("x"))="x"</formula>
    </cfRule>
  </conditionalFormatting>
  <conditionalFormatting sqref="H733">
    <cfRule type="endsWith" dxfId="528" priority="571" operator="endsWith" text="x">
      <formula>RIGHT(H733,LEN("x"))="x"</formula>
    </cfRule>
  </conditionalFormatting>
  <conditionalFormatting sqref="H733">
    <cfRule type="endsWith" dxfId="527" priority="570" operator="endsWith" text="x">
      <formula>RIGHT(H733,LEN("x"))="x"</formula>
    </cfRule>
  </conditionalFormatting>
  <conditionalFormatting sqref="H733">
    <cfRule type="endsWith" dxfId="526" priority="569" operator="endsWith" text="x">
      <formula>RIGHT(H733,LEN("x"))="x"</formula>
    </cfRule>
  </conditionalFormatting>
  <conditionalFormatting sqref="H720">
    <cfRule type="endsWith" dxfId="525" priority="568" operator="endsWith" text="x">
      <formula>RIGHT(H720,LEN("x"))="x"</formula>
    </cfRule>
  </conditionalFormatting>
  <conditionalFormatting sqref="H720">
    <cfRule type="endsWith" dxfId="524" priority="567" operator="endsWith" text="x">
      <formula>RIGHT(H720,LEN("x"))="x"</formula>
    </cfRule>
  </conditionalFormatting>
  <conditionalFormatting sqref="H720">
    <cfRule type="endsWith" dxfId="523" priority="566" operator="endsWith" text="x">
      <formula>RIGHT(H720,LEN("x"))="x"</formula>
    </cfRule>
  </conditionalFormatting>
  <conditionalFormatting sqref="H707">
    <cfRule type="endsWith" dxfId="522" priority="565" operator="endsWith" text="x">
      <formula>RIGHT(H707,LEN("x"))="x"</formula>
    </cfRule>
  </conditionalFormatting>
  <conditionalFormatting sqref="H707">
    <cfRule type="endsWith" dxfId="521" priority="564" operator="endsWith" text="x">
      <formula>RIGHT(H707,LEN("x"))="x"</formula>
    </cfRule>
  </conditionalFormatting>
  <conditionalFormatting sqref="H707">
    <cfRule type="endsWith" dxfId="520" priority="563" operator="endsWith" text="x">
      <formula>RIGHT(H707,LEN("x"))="x"</formula>
    </cfRule>
  </conditionalFormatting>
  <conditionalFormatting sqref="H694">
    <cfRule type="endsWith" dxfId="519" priority="562" operator="endsWith" text="x">
      <formula>RIGHT(H694,LEN("x"))="x"</formula>
    </cfRule>
  </conditionalFormatting>
  <conditionalFormatting sqref="H694">
    <cfRule type="endsWith" dxfId="518" priority="561" operator="endsWith" text="x">
      <formula>RIGHT(H694,LEN("x"))="x"</formula>
    </cfRule>
  </conditionalFormatting>
  <conditionalFormatting sqref="H694">
    <cfRule type="endsWith" dxfId="517" priority="560" operator="endsWith" text="x">
      <formula>RIGHT(H694,LEN("x"))="x"</formula>
    </cfRule>
  </conditionalFormatting>
  <conditionalFormatting sqref="H684">
    <cfRule type="endsWith" dxfId="516" priority="559" operator="endsWith" text="x">
      <formula>RIGHT(H684,LEN("x"))="x"</formula>
    </cfRule>
  </conditionalFormatting>
  <conditionalFormatting sqref="H684">
    <cfRule type="endsWith" dxfId="515" priority="558" operator="endsWith" text="x">
      <formula>RIGHT(H684,LEN("x"))="x"</formula>
    </cfRule>
  </conditionalFormatting>
  <conditionalFormatting sqref="H684">
    <cfRule type="endsWith" dxfId="514" priority="557" operator="endsWith" text="x">
      <formula>RIGHT(H684,LEN("x"))="x"</formula>
    </cfRule>
  </conditionalFormatting>
  <conditionalFormatting sqref="H676">
    <cfRule type="endsWith" dxfId="513" priority="556" operator="endsWith" text="x">
      <formula>RIGHT(H676,LEN("x"))="x"</formula>
    </cfRule>
  </conditionalFormatting>
  <conditionalFormatting sqref="H676">
    <cfRule type="endsWith" dxfId="512" priority="555" operator="endsWith" text="x">
      <formula>RIGHT(H676,LEN("x"))="x"</formula>
    </cfRule>
  </conditionalFormatting>
  <conditionalFormatting sqref="H676">
    <cfRule type="endsWith" dxfId="511" priority="554" operator="endsWith" text="x">
      <formula>RIGHT(H676,LEN("x"))="x"</formula>
    </cfRule>
  </conditionalFormatting>
  <conditionalFormatting sqref="H668">
    <cfRule type="endsWith" dxfId="510" priority="553" operator="endsWith" text="x">
      <formula>RIGHT(H668,LEN("x"))="x"</formula>
    </cfRule>
  </conditionalFormatting>
  <conditionalFormatting sqref="H668">
    <cfRule type="endsWith" dxfId="509" priority="552" operator="endsWith" text="x">
      <formula>RIGHT(H668,LEN("x"))="x"</formula>
    </cfRule>
  </conditionalFormatting>
  <conditionalFormatting sqref="H668">
    <cfRule type="endsWith" dxfId="508" priority="551" operator="endsWith" text="x">
      <formula>RIGHT(H668,LEN("x"))="x"</formula>
    </cfRule>
  </conditionalFormatting>
  <conditionalFormatting sqref="H660">
    <cfRule type="endsWith" dxfId="507" priority="550" operator="endsWith" text="x">
      <formula>RIGHT(H660,LEN("x"))="x"</formula>
    </cfRule>
  </conditionalFormatting>
  <conditionalFormatting sqref="H660">
    <cfRule type="endsWith" dxfId="506" priority="549" operator="endsWith" text="x">
      <formula>RIGHT(H660,LEN("x"))="x"</formula>
    </cfRule>
  </conditionalFormatting>
  <conditionalFormatting sqref="H660">
    <cfRule type="endsWith" dxfId="505" priority="548" operator="endsWith" text="x">
      <formula>RIGHT(H660,LEN("x"))="x"</formula>
    </cfRule>
  </conditionalFormatting>
  <conditionalFormatting sqref="H652">
    <cfRule type="endsWith" dxfId="504" priority="547" operator="endsWith" text="x">
      <formula>RIGHT(H652,LEN("x"))="x"</formula>
    </cfRule>
  </conditionalFormatting>
  <conditionalFormatting sqref="H652">
    <cfRule type="endsWith" dxfId="503" priority="546" operator="endsWith" text="x">
      <formula>RIGHT(H652,LEN("x"))="x"</formula>
    </cfRule>
  </conditionalFormatting>
  <conditionalFormatting sqref="H652">
    <cfRule type="endsWith" dxfId="502" priority="545" operator="endsWith" text="x">
      <formula>RIGHT(H652,LEN("x"))="x"</formula>
    </cfRule>
  </conditionalFormatting>
  <conditionalFormatting sqref="H642">
    <cfRule type="endsWith" dxfId="501" priority="544" operator="endsWith" text="x">
      <formula>RIGHT(H642,LEN("x"))="x"</formula>
    </cfRule>
  </conditionalFormatting>
  <conditionalFormatting sqref="H642">
    <cfRule type="endsWith" dxfId="500" priority="543" operator="endsWith" text="x">
      <formula>RIGHT(H642,LEN("x"))="x"</formula>
    </cfRule>
  </conditionalFormatting>
  <conditionalFormatting sqref="H642">
    <cfRule type="endsWith" dxfId="499" priority="542" operator="endsWith" text="x">
      <formula>RIGHT(H642,LEN("x"))="x"</formula>
    </cfRule>
  </conditionalFormatting>
  <conditionalFormatting sqref="H636">
    <cfRule type="endsWith" dxfId="498" priority="541" operator="endsWith" text="x">
      <formula>RIGHT(H636,LEN("x"))="x"</formula>
    </cfRule>
  </conditionalFormatting>
  <conditionalFormatting sqref="H636">
    <cfRule type="endsWith" dxfId="497" priority="540" operator="endsWith" text="x">
      <formula>RIGHT(H636,LEN("x"))="x"</formula>
    </cfRule>
  </conditionalFormatting>
  <conditionalFormatting sqref="H636">
    <cfRule type="endsWith" dxfId="496" priority="539" operator="endsWith" text="x">
      <formula>RIGHT(H636,LEN("x"))="x"</formula>
    </cfRule>
  </conditionalFormatting>
  <conditionalFormatting sqref="H630">
    <cfRule type="endsWith" dxfId="495" priority="538" operator="endsWith" text="x">
      <formula>RIGHT(H630,LEN("x"))="x"</formula>
    </cfRule>
  </conditionalFormatting>
  <conditionalFormatting sqref="H630">
    <cfRule type="endsWith" dxfId="494" priority="537" operator="endsWith" text="x">
      <formula>RIGHT(H630,LEN("x"))="x"</formula>
    </cfRule>
  </conditionalFormatting>
  <conditionalFormatting sqref="H630">
    <cfRule type="endsWith" dxfId="493" priority="536" operator="endsWith" text="x">
      <formula>RIGHT(H630,LEN("x"))="x"</formula>
    </cfRule>
  </conditionalFormatting>
  <conditionalFormatting sqref="H624">
    <cfRule type="endsWith" dxfId="492" priority="535" operator="endsWith" text="x">
      <formula>RIGHT(H624,LEN("x"))="x"</formula>
    </cfRule>
  </conditionalFormatting>
  <conditionalFormatting sqref="H624">
    <cfRule type="endsWith" dxfId="491" priority="534" operator="endsWith" text="x">
      <formula>RIGHT(H624,LEN("x"))="x"</formula>
    </cfRule>
  </conditionalFormatting>
  <conditionalFormatting sqref="H624">
    <cfRule type="endsWith" dxfId="490" priority="533" operator="endsWith" text="x">
      <formula>RIGHT(H624,LEN("x"))="x"</formula>
    </cfRule>
  </conditionalFormatting>
  <conditionalFormatting sqref="H618">
    <cfRule type="endsWith" dxfId="489" priority="532" operator="endsWith" text="x">
      <formula>RIGHT(H618,LEN("x"))="x"</formula>
    </cfRule>
  </conditionalFormatting>
  <conditionalFormatting sqref="H618">
    <cfRule type="endsWith" dxfId="488" priority="531" operator="endsWith" text="x">
      <formula>RIGHT(H618,LEN("x"))="x"</formula>
    </cfRule>
  </conditionalFormatting>
  <conditionalFormatting sqref="H618">
    <cfRule type="endsWith" dxfId="487" priority="530" operator="endsWith" text="x">
      <formula>RIGHT(H618,LEN("x"))="x"</formula>
    </cfRule>
  </conditionalFormatting>
  <conditionalFormatting sqref="H606">
    <cfRule type="endsWith" dxfId="486" priority="529" operator="endsWith" text="x">
      <formula>RIGHT(H606,LEN("x"))="x"</formula>
    </cfRule>
  </conditionalFormatting>
  <conditionalFormatting sqref="H606">
    <cfRule type="endsWith" dxfId="485" priority="528" operator="endsWith" text="x">
      <formula>RIGHT(H606,LEN("x"))="x"</formula>
    </cfRule>
  </conditionalFormatting>
  <conditionalFormatting sqref="H606">
    <cfRule type="endsWith" dxfId="484" priority="527" operator="endsWith" text="x">
      <formula>RIGHT(H606,LEN("x"))="x"</formula>
    </cfRule>
  </conditionalFormatting>
  <conditionalFormatting sqref="H612">
    <cfRule type="endsWith" dxfId="483" priority="526" operator="endsWith" text="x">
      <formula>RIGHT(H612,LEN("x"))="x"</formula>
    </cfRule>
  </conditionalFormatting>
  <conditionalFormatting sqref="H612">
    <cfRule type="endsWith" dxfId="482" priority="525" operator="endsWith" text="x">
      <formula>RIGHT(H612,LEN("x"))="x"</formula>
    </cfRule>
  </conditionalFormatting>
  <conditionalFormatting sqref="H612">
    <cfRule type="endsWith" dxfId="481" priority="524" operator="endsWith" text="x">
      <formula>RIGHT(H612,LEN("x"))="x"</formula>
    </cfRule>
  </conditionalFormatting>
  <conditionalFormatting sqref="H592">
    <cfRule type="endsWith" dxfId="480" priority="523" operator="endsWith" text="x">
      <formula>RIGHT(H592,LEN("x"))="x"</formula>
    </cfRule>
  </conditionalFormatting>
  <conditionalFormatting sqref="H592">
    <cfRule type="endsWith" dxfId="479" priority="522" operator="endsWith" text="x">
      <formula>RIGHT(H592,LEN("x"))="x"</formula>
    </cfRule>
  </conditionalFormatting>
  <conditionalFormatting sqref="H592">
    <cfRule type="endsWith" dxfId="478" priority="521" operator="endsWith" text="x">
      <formula>RIGHT(H592,LEN("x"))="x"</formula>
    </cfRule>
  </conditionalFormatting>
  <conditionalFormatting sqref="H598">
    <cfRule type="endsWith" dxfId="477" priority="520" operator="endsWith" text="x">
      <formula>RIGHT(H598,LEN("x"))="x"</formula>
    </cfRule>
  </conditionalFormatting>
  <conditionalFormatting sqref="H598">
    <cfRule type="endsWith" dxfId="476" priority="519" operator="endsWith" text="x">
      <formula>RIGHT(H598,LEN("x"))="x"</formula>
    </cfRule>
  </conditionalFormatting>
  <conditionalFormatting sqref="H598">
    <cfRule type="endsWith" dxfId="475" priority="518" operator="endsWith" text="x">
      <formula>RIGHT(H598,LEN("x"))="x"</formula>
    </cfRule>
  </conditionalFormatting>
  <conditionalFormatting sqref="H586">
    <cfRule type="endsWith" dxfId="474" priority="517" operator="endsWith" text="x">
      <formula>RIGHT(H586,LEN("x"))="x"</formula>
    </cfRule>
  </conditionalFormatting>
  <conditionalFormatting sqref="H586">
    <cfRule type="endsWith" dxfId="473" priority="516" operator="endsWith" text="x">
      <formula>RIGHT(H586,LEN("x"))="x"</formula>
    </cfRule>
  </conditionalFormatting>
  <conditionalFormatting sqref="H586">
    <cfRule type="endsWith" dxfId="472" priority="515" operator="endsWith" text="x">
      <formula>RIGHT(H586,LEN("x"))="x"</formula>
    </cfRule>
  </conditionalFormatting>
  <conditionalFormatting sqref="H580">
    <cfRule type="endsWith" dxfId="471" priority="514" operator="endsWith" text="x">
      <formula>RIGHT(H580,LEN("x"))="x"</formula>
    </cfRule>
  </conditionalFormatting>
  <conditionalFormatting sqref="H580">
    <cfRule type="endsWith" dxfId="470" priority="513" operator="endsWith" text="x">
      <formula>RIGHT(H580,LEN("x"))="x"</formula>
    </cfRule>
  </conditionalFormatting>
  <conditionalFormatting sqref="H580">
    <cfRule type="endsWith" dxfId="469" priority="512" operator="endsWith" text="x">
      <formula>RIGHT(H580,LEN("x"))="x"</formula>
    </cfRule>
  </conditionalFormatting>
  <conditionalFormatting sqref="H574">
    <cfRule type="endsWith" dxfId="468" priority="511" operator="endsWith" text="x">
      <formula>RIGHT(H574,LEN("x"))="x"</formula>
    </cfRule>
  </conditionalFormatting>
  <conditionalFormatting sqref="H574">
    <cfRule type="endsWith" dxfId="467" priority="510" operator="endsWith" text="x">
      <formula>RIGHT(H574,LEN("x"))="x"</formula>
    </cfRule>
  </conditionalFormatting>
  <conditionalFormatting sqref="H574">
    <cfRule type="endsWith" dxfId="466" priority="509" operator="endsWith" text="x">
      <formula>RIGHT(H574,LEN("x"))="x"</formula>
    </cfRule>
  </conditionalFormatting>
  <conditionalFormatting sqref="H568">
    <cfRule type="endsWith" dxfId="465" priority="508" operator="endsWith" text="x">
      <formula>RIGHT(H568,LEN("x"))="x"</formula>
    </cfRule>
  </conditionalFormatting>
  <conditionalFormatting sqref="H568">
    <cfRule type="endsWith" dxfId="464" priority="507" operator="endsWith" text="x">
      <formula>RIGHT(H568,LEN("x"))="x"</formula>
    </cfRule>
  </conditionalFormatting>
  <conditionalFormatting sqref="H568">
    <cfRule type="endsWith" dxfId="463" priority="506" operator="endsWith" text="x">
      <formula>RIGHT(H568,LEN("x"))="x"</formula>
    </cfRule>
  </conditionalFormatting>
  <conditionalFormatting sqref="H560">
    <cfRule type="endsWith" dxfId="462" priority="505" operator="endsWith" text="x">
      <formula>RIGHT(H560,LEN("x"))="x"</formula>
    </cfRule>
  </conditionalFormatting>
  <conditionalFormatting sqref="H560">
    <cfRule type="endsWith" dxfId="461" priority="504" operator="endsWith" text="x">
      <formula>RIGHT(H560,LEN("x"))="x"</formula>
    </cfRule>
  </conditionalFormatting>
  <conditionalFormatting sqref="H560">
    <cfRule type="endsWith" dxfId="460" priority="503" operator="endsWith" text="x">
      <formula>RIGHT(H560,LEN("x"))="x"</formula>
    </cfRule>
  </conditionalFormatting>
  <conditionalFormatting sqref="H554">
    <cfRule type="endsWith" dxfId="459" priority="502" operator="endsWith" text="x">
      <formula>RIGHT(H554,LEN("x"))="x"</formula>
    </cfRule>
  </conditionalFormatting>
  <conditionalFormatting sqref="H554">
    <cfRule type="endsWith" dxfId="458" priority="501" operator="endsWith" text="x">
      <formula>RIGHT(H554,LEN("x"))="x"</formula>
    </cfRule>
  </conditionalFormatting>
  <conditionalFormatting sqref="H554">
    <cfRule type="endsWith" dxfId="457" priority="500" operator="endsWith" text="x">
      <formula>RIGHT(H554,LEN("x"))="x"</formula>
    </cfRule>
  </conditionalFormatting>
  <conditionalFormatting sqref="H544">
    <cfRule type="endsWith" dxfId="456" priority="499" operator="endsWith" text="x">
      <formula>RIGHT(H544,LEN("x"))="x"</formula>
    </cfRule>
  </conditionalFormatting>
  <conditionalFormatting sqref="H544">
    <cfRule type="endsWith" dxfId="455" priority="498" operator="endsWith" text="x">
      <formula>RIGHT(H544,LEN("x"))="x"</formula>
    </cfRule>
  </conditionalFormatting>
  <conditionalFormatting sqref="H544">
    <cfRule type="endsWith" dxfId="454" priority="497" operator="endsWith" text="x">
      <formula>RIGHT(H544,LEN("x"))="x"</formula>
    </cfRule>
  </conditionalFormatting>
  <conditionalFormatting sqref="H538">
    <cfRule type="endsWith" dxfId="453" priority="496" operator="endsWith" text="x">
      <formula>RIGHT(H538,LEN("x"))="x"</formula>
    </cfRule>
  </conditionalFormatting>
  <conditionalFormatting sqref="H538">
    <cfRule type="endsWith" dxfId="452" priority="495" operator="endsWith" text="x">
      <formula>RIGHT(H538,LEN("x"))="x"</formula>
    </cfRule>
  </conditionalFormatting>
  <conditionalFormatting sqref="H538">
    <cfRule type="endsWith" dxfId="451" priority="494" operator="endsWith" text="x">
      <formula>RIGHT(H538,LEN("x"))="x"</formula>
    </cfRule>
  </conditionalFormatting>
  <conditionalFormatting sqref="H532">
    <cfRule type="endsWith" dxfId="450" priority="493" operator="endsWith" text="x">
      <formula>RIGHT(H532,LEN("x"))="x"</formula>
    </cfRule>
  </conditionalFormatting>
  <conditionalFormatting sqref="H532">
    <cfRule type="endsWith" dxfId="449" priority="492" operator="endsWith" text="x">
      <formula>RIGHT(H532,LEN("x"))="x"</formula>
    </cfRule>
  </conditionalFormatting>
  <conditionalFormatting sqref="H532">
    <cfRule type="endsWith" dxfId="448" priority="491" operator="endsWith" text="x">
      <formula>RIGHT(H532,LEN("x"))="x"</formula>
    </cfRule>
  </conditionalFormatting>
  <conditionalFormatting sqref="H526">
    <cfRule type="endsWith" dxfId="447" priority="490" operator="endsWith" text="x">
      <formula>RIGHT(H526,LEN("x"))="x"</formula>
    </cfRule>
  </conditionalFormatting>
  <conditionalFormatting sqref="H526">
    <cfRule type="endsWith" dxfId="446" priority="489" operator="endsWith" text="x">
      <formula>RIGHT(H526,LEN("x"))="x"</formula>
    </cfRule>
  </conditionalFormatting>
  <conditionalFormatting sqref="H526">
    <cfRule type="endsWith" dxfId="445" priority="488" operator="endsWith" text="x">
      <formula>RIGHT(H526,LEN("x"))="x"</formula>
    </cfRule>
  </conditionalFormatting>
  <conditionalFormatting sqref="H520">
    <cfRule type="endsWith" dxfId="444" priority="487" operator="endsWith" text="x">
      <formula>RIGHT(H520,LEN("x"))="x"</formula>
    </cfRule>
  </conditionalFormatting>
  <conditionalFormatting sqref="H520">
    <cfRule type="endsWith" dxfId="443" priority="486" operator="endsWith" text="x">
      <formula>RIGHT(H520,LEN("x"))="x"</formula>
    </cfRule>
  </conditionalFormatting>
  <conditionalFormatting sqref="H520">
    <cfRule type="endsWith" dxfId="442" priority="485" operator="endsWith" text="x">
      <formula>RIGHT(H520,LEN("x"))="x"</formula>
    </cfRule>
  </conditionalFormatting>
  <conditionalFormatting sqref="H514">
    <cfRule type="endsWith" dxfId="441" priority="484" operator="endsWith" text="x">
      <formula>RIGHT(H514,LEN("x"))="x"</formula>
    </cfRule>
  </conditionalFormatting>
  <conditionalFormatting sqref="H514">
    <cfRule type="endsWith" dxfId="440" priority="483" operator="endsWith" text="x">
      <formula>RIGHT(H514,LEN("x"))="x"</formula>
    </cfRule>
  </conditionalFormatting>
  <conditionalFormatting sqref="H514">
    <cfRule type="endsWith" dxfId="439" priority="482" operator="endsWith" text="x">
      <formula>RIGHT(H514,LEN("x"))="x"</formula>
    </cfRule>
  </conditionalFormatting>
  <conditionalFormatting sqref="H500">
    <cfRule type="endsWith" dxfId="438" priority="481" operator="endsWith" text="x">
      <formula>RIGHT(H500,LEN("x"))="x"</formula>
    </cfRule>
  </conditionalFormatting>
  <conditionalFormatting sqref="H500">
    <cfRule type="endsWith" dxfId="437" priority="480" operator="endsWith" text="x">
      <formula>RIGHT(H500,LEN("x"))="x"</formula>
    </cfRule>
  </conditionalFormatting>
  <conditionalFormatting sqref="H500">
    <cfRule type="endsWith" dxfId="436" priority="479" operator="endsWith" text="x">
      <formula>RIGHT(H500,LEN("x"))="x"</formula>
    </cfRule>
  </conditionalFormatting>
  <conditionalFormatting sqref="H494">
    <cfRule type="endsWith" dxfId="435" priority="478" operator="endsWith" text="x">
      <formula>RIGHT(H494,LEN("x"))="x"</formula>
    </cfRule>
  </conditionalFormatting>
  <conditionalFormatting sqref="H494">
    <cfRule type="endsWith" dxfId="434" priority="477" operator="endsWith" text="x">
      <formula>RIGHT(H494,LEN("x"))="x"</formula>
    </cfRule>
  </conditionalFormatting>
  <conditionalFormatting sqref="H494">
    <cfRule type="endsWith" dxfId="433" priority="476" operator="endsWith" text="x">
      <formula>RIGHT(H494,LEN("x"))="x"</formula>
    </cfRule>
  </conditionalFormatting>
  <conditionalFormatting sqref="H488">
    <cfRule type="endsWith" dxfId="432" priority="475" operator="endsWith" text="x">
      <formula>RIGHT(H488,LEN("x"))="x"</formula>
    </cfRule>
  </conditionalFormatting>
  <conditionalFormatting sqref="H488">
    <cfRule type="endsWith" dxfId="431" priority="474" operator="endsWith" text="x">
      <formula>RIGHT(H488,LEN("x"))="x"</formula>
    </cfRule>
  </conditionalFormatting>
  <conditionalFormatting sqref="H488">
    <cfRule type="endsWith" dxfId="430" priority="473" operator="endsWith" text="x">
      <formula>RIGHT(H488,LEN("x"))="x"</formula>
    </cfRule>
  </conditionalFormatting>
  <conditionalFormatting sqref="H476">
    <cfRule type="endsWith" dxfId="429" priority="472" operator="endsWith" text="x">
      <formula>RIGHT(H476,LEN("x"))="x"</formula>
    </cfRule>
  </conditionalFormatting>
  <conditionalFormatting sqref="H476">
    <cfRule type="endsWith" dxfId="428" priority="471" operator="endsWith" text="x">
      <formula>RIGHT(H476,LEN("x"))="x"</formula>
    </cfRule>
  </conditionalFormatting>
  <conditionalFormatting sqref="H476">
    <cfRule type="endsWith" dxfId="427" priority="470" operator="endsWith" text="x">
      <formula>RIGHT(H476,LEN("x"))="x"</formula>
    </cfRule>
  </conditionalFormatting>
  <conditionalFormatting sqref="H470">
    <cfRule type="endsWith" dxfId="426" priority="469" operator="endsWith" text="x">
      <formula>RIGHT(H470,LEN("x"))="x"</formula>
    </cfRule>
  </conditionalFormatting>
  <conditionalFormatting sqref="H470">
    <cfRule type="endsWith" dxfId="425" priority="468" operator="endsWith" text="x">
      <formula>RIGHT(H470,LEN("x"))="x"</formula>
    </cfRule>
  </conditionalFormatting>
  <conditionalFormatting sqref="H470">
    <cfRule type="endsWith" dxfId="424" priority="467" operator="endsWith" text="x">
      <formula>RIGHT(H470,LEN("x"))="x"</formula>
    </cfRule>
  </conditionalFormatting>
  <conditionalFormatting sqref="H464">
    <cfRule type="endsWith" dxfId="423" priority="466" operator="endsWith" text="x">
      <formula>RIGHT(H464,LEN("x"))="x"</formula>
    </cfRule>
  </conditionalFormatting>
  <conditionalFormatting sqref="H464">
    <cfRule type="endsWith" dxfId="422" priority="465" operator="endsWith" text="x">
      <formula>RIGHT(H464,LEN("x"))="x"</formula>
    </cfRule>
  </conditionalFormatting>
  <conditionalFormatting sqref="H464">
    <cfRule type="endsWith" dxfId="421" priority="464" operator="endsWith" text="x">
      <formula>RIGHT(H464,LEN("x"))="x"</formula>
    </cfRule>
  </conditionalFormatting>
  <conditionalFormatting sqref="H458">
    <cfRule type="endsWith" dxfId="420" priority="463" operator="endsWith" text="x">
      <formula>RIGHT(H458,LEN("x"))="x"</formula>
    </cfRule>
  </conditionalFormatting>
  <conditionalFormatting sqref="H458">
    <cfRule type="endsWith" dxfId="419" priority="462" operator="endsWith" text="x">
      <formula>RIGHT(H458,LEN("x"))="x"</formula>
    </cfRule>
  </conditionalFormatting>
  <conditionalFormatting sqref="H458">
    <cfRule type="endsWith" dxfId="418" priority="461" operator="endsWith" text="x">
      <formula>RIGHT(H458,LEN("x"))="x"</formula>
    </cfRule>
  </conditionalFormatting>
  <conditionalFormatting sqref="H452">
    <cfRule type="endsWith" dxfId="417" priority="460" operator="endsWith" text="x">
      <formula>RIGHT(H452,LEN("x"))="x"</formula>
    </cfRule>
  </conditionalFormatting>
  <conditionalFormatting sqref="H452">
    <cfRule type="endsWith" dxfId="416" priority="459" operator="endsWith" text="x">
      <formula>RIGHT(H452,LEN("x"))="x"</formula>
    </cfRule>
  </conditionalFormatting>
  <conditionalFormatting sqref="H452">
    <cfRule type="endsWith" dxfId="415" priority="458" operator="endsWith" text="x">
      <formula>RIGHT(H452,LEN("x"))="x"</formula>
    </cfRule>
  </conditionalFormatting>
  <conditionalFormatting sqref="H446">
    <cfRule type="endsWith" dxfId="414" priority="457" operator="endsWith" text="x">
      <formula>RIGHT(H446,LEN("x"))="x"</formula>
    </cfRule>
  </conditionalFormatting>
  <conditionalFormatting sqref="H446">
    <cfRule type="endsWith" dxfId="413" priority="456" operator="endsWith" text="x">
      <formula>RIGHT(H446,LEN("x"))="x"</formula>
    </cfRule>
  </conditionalFormatting>
  <conditionalFormatting sqref="H446">
    <cfRule type="endsWith" dxfId="412" priority="455" operator="endsWith" text="x">
      <formula>RIGHT(H446,LEN("x"))="x"</formula>
    </cfRule>
  </conditionalFormatting>
  <conditionalFormatting sqref="H440">
    <cfRule type="endsWith" dxfId="411" priority="454" operator="endsWith" text="x">
      <formula>RIGHT(H440,LEN("x"))="x"</formula>
    </cfRule>
  </conditionalFormatting>
  <conditionalFormatting sqref="H440">
    <cfRule type="endsWith" dxfId="410" priority="453" operator="endsWith" text="x">
      <formula>RIGHT(H440,LEN("x"))="x"</formula>
    </cfRule>
  </conditionalFormatting>
  <conditionalFormatting sqref="H440">
    <cfRule type="endsWith" dxfId="409" priority="452" operator="endsWith" text="x">
      <formula>RIGHT(H440,LEN("x"))="x"</formula>
    </cfRule>
  </conditionalFormatting>
  <conditionalFormatting sqref="H434">
    <cfRule type="endsWith" dxfId="408" priority="451" operator="endsWith" text="x">
      <formula>RIGHT(H434,LEN("x"))="x"</formula>
    </cfRule>
  </conditionalFormatting>
  <conditionalFormatting sqref="H434">
    <cfRule type="endsWith" dxfId="407" priority="450" operator="endsWith" text="x">
      <formula>RIGHT(H434,LEN("x"))="x"</formula>
    </cfRule>
  </conditionalFormatting>
  <conditionalFormatting sqref="H434">
    <cfRule type="endsWith" dxfId="406" priority="449" operator="endsWith" text="x">
      <formula>RIGHT(H434,LEN("x"))="x"</formula>
    </cfRule>
  </conditionalFormatting>
  <conditionalFormatting sqref="H428">
    <cfRule type="endsWith" dxfId="405" priority="448" operator="endsWith" text="x">
      <formula>RIGHT(H428,LEN("x"))="x"</formula>
    </cfRule>
  </conditionalFormatting>
  <conditionalFormatting sqref="H428">
    <cfRule type="endsWith" dxfId="404" priority="447" operator="endsWith" text="x">
      <formula>RIGHT(H428,LEN("x"))="x"</formula>
    </cfRule>
  </conditionalFormatting>
  <conditionalFormatting sqref="H428">
    <cfRule type="endsWith" dxfId="403" priority="446" operator="endsWith" text="x">
      <formula>RIGHT(H428,LEN("x"))="x"</formula>
    </cfRule>
  </conditionalFormatting>
  <conditionalFormatting sqref="H422">
    <cfRule type="endsWith" dxfId="402" priority="445" operator="endsWith" text="x">
      <formula>RIGHT(H422,LEN("x"))="x"</formula>
    </cfRule>
  </conditionalFormatting>
  <conditionalFormatting sqref="H422">
    <cfRule type="endsWith" dxfId="401" priority="444" operator="endsWith" text="x">
      <formula>RIGHT(H422,LEN("x"))="x"</formula>
    </cfRule>
  </conditionalFormatting>
  <conditionalFormatting sqref="H422">
    <cfRule type="endsWith" dxfId="400" priority="443" operator="endsWith" text="x">
      <formula>RIGHT(H422,LEN("x"))="x"</formula>
    </cfRule>
  </conditionalFormatting>
  <conditionalFormatting sqref="H416">
    <cfRule type="endsWith" dxfId="399" priority="442" operator="endsWith" text="x">
      <formula>RIGHT(H416,LEN("x"))="x"</formula>
    </cfRule>
  </conditionalFormatting>
  <conditionalFormatting sqref="H416">
    <cfRule type="endsWith" dxfId="398" priority="441" operator="endsWith" text="x">
      <formula>RIGHT(H416,LEN("x"))="x"</formula>
    </cfRule>
  </conditionalFormatting>
  <conditionalFormatting sqref="H416">
    <cfRule type="endsWith" dxfId="397" priority="440" operator="endsWith" text="x">
      <formula>RIGHT(H416,LEN("x"))="x"</formula>
    </cfRule>
  </conditionalFormatting>
  <conditionalFormatting sqref="H410">
    <cfRule type="endsWith" dxfId="396" priority="439" operator="endsWith" text="x">
      <formula>RIGHT(H410,LEN("x"))="x"</formula>
    </cfRule>
  </conditionalFormatting>
  <conditionalFormatting sqref="H410">
    <cfRule type="endsWith" dxfId="395" priority="438" operator="endsWith" text="x">
      <formula>RIGHT(H410,LEN("x"))="x"</formula>
    </cfRule>
  </conditionalFormatting>
  <conditionalFormatting sqref="H410">
    <cfRule type="endsWith" dxfId="394" priority="437" operator="endsWith" text="x">
      <formula>RIGHT(H410,LEN("x"))="x"</formula>
    </cfRule>
  </conditionalFormatting>
  <conditionalFormatting sqref="H404">
    <cfRule type="endsWith" dxfId="393" priority="436" operator="endsWith" text="x">
      <formula>RIGHT(H404,LEN("x"))="x"</formula>
    </cfRule>
  </conditionalFormatting>
  <conditionalFormatting sqref="H404">
    <cfRule type="endsWith" dxfId="392" priority="435" operator="endsWith" text="x">
      <formula>RIGHT(H404,LEN("x"))="x"</formula>
    </cfRule>
  </conditionalFormatting>
  <conditionalFormatting sqref="H404">
    <cfRule type="endsWith" dxfId="391" priority="434" operator="endsWith" text="x">
      <formula>RIGHT(H404,LEN("x"))="x"</formula>
    </cfRule>
  </conditionalFormatting>
  <conditionalFormatting sqref="H394">
    <cfRule type="endsWith" dxfId="390" priority="433" operator="endsWith" text="x">
      <formula>RIGHT(H394,LEN("x"))="x"</formula>
    </cfRule>
  </conditionalFormatting>
  <conditionalFormatting sqref="H394">
    <cfRule type="endsWith" dxfId="389" priority="432" operator="endsWith" text="x">
      <formula>RIGHT(H394,LEN("x"))="x"</formula>
    </cfRule>
  </conditionalFormatting>
  <conditionalFormatting sqref="H394">
    <cfRule type="endsWith" dxfId="388" priority="431" operator="endsWith" text="x">
      <formula>RIGHT(H394,LEN("x"))="x"</formula>
    </cfRule>
  </conditionalFormatting>
  <conditionalFormatting sqref="H386">
    <cfRule type="endsWith" dxfId="387" priority="430" operator="endsWith" text="x">
      <formula>RIGHT(H386,LEN("x"))="x"</formula>
    </cfRule>
  </conditionalFormatting>
  <conditionalFormatting sqref="H386">
    <cfRule type="endsWith" dxfId="386" priority="429" operator="endsWith" text="x">
      <formula>RIGHT(H386,LEN("x"))="x"</formula>
    </cfRule>
  </conditionalFormatting>
  <conditionalFormatting sqref="H386">
    <cfRule type="endsWith" dxfId="385" priority="428" operator="endsWith" text="x">
      <formula>RIGHT(H386,LEN("x"))="x"</formula>
    </cfRule>
  </conditionalFormatting>
  <conditionalFormatting sqref="H378">
    <cfRule type="endsWith" dxfId="384" priority="427" operator="endsWith" text="x">
      <formula>RIGHT(H378,LEN("x"))="x"</formula>
    </cfRule>
  </conditionalFormatting>
  <conditionalFormatting sqref="H378">
    <cfRule type="endsWith" dxfId="383" priority="426" operator="endsWith" text="x">
      <formula>RIGHT(H378,LEN("x"))="x"</formula>
    </cfRule>
  </conditionalFormatting>
  <conditionalFormatting sqref="H378">
    <cfRule type="endsWith" dxfId="382" priority="425" operator="endsWith" text="x">
      <formula>RIGHT(H378,LEN("x"))="x"</formula>
    </cfRule>
  </conditionalFormatting>
  <conditionalFormatting sqref="H370">
    <cfRule type="endsWith" dxfId="381" priority="424" operator="endsWith" text="x">
      <formula>RIGHT(H370,LEN("x"))="x"</formula>
    </cfRule>
  </conditionalFormatting>
  <conditionalFormatting sqref="H370">
    <cfRule type="endsWith" dxfId="380" priority="423" operator="endsWith" text="x">
      <formula>RIGHT(H370,LEN("x"))="x"</formula>
    </cfRule>
  </conditionalFormatting>
  <conditionalFormatting sqref="H370">
    <cfRule type="endsWith" dxfId="379" priority="422" operator="endsWith" text="x">
      <formula>RIGHT(H370,LEN("x"))="x"</formula>
    </cfRule>
  </conditionalFormatting>
  <conditionalFormatting sqref="H362">
    <cfRule type="endsWith" dxfId="378" priority="421" operator="endsWith" text="x">
      <formula>RIGHT(H362,LEN("x"))="x"</formula>
    </cfRule>
  </conditionalFormatting>
  <conditionalFormatting sqref="H362">
    <cfRule type="endsWith" dxfId="377" priority="420" operator="endsWith" text="x">
      <formula>RIGHT(H362,LEN("x"))="x"</formula>
    </cfRule>
  </conditionalFormatting>
  <conditionalFormatting sqref="H362">
    <cfRule type="endsWith" dxfId="376" priority="419" operator="endsWith" text="x">
      <formula>RIGHT(H362,LEN("x"))="x"</formula>
    </cfRule>
  </conditionalFormatting>
  <conditionalFormatting sqref="H354">
    <cfRule type="endsWith" dxfId="375" priority="418" operator="endsWith" text="x">
      <formula>RIGHT(H354,LEN("x"))="x"</formula>
    </cfRule>
  </conditionalFormatting>
  <conditionalFormatting sqref="H354">
    <cfRule type="endsWith" dxfId="374" priority="417" operator="endsWith" text="x">
      <formula>RIGHT(H354,LEN("x"))="x"</formula>
    </cfRule>
  </conditionalFormatting>
  <conditionalFormatting sqref="H354">
    <cfRule type="endsWith" dxfId="373" priority="416" operator="endsWith" text="x">
      <formula>RIGHT(H354,LEN("x"))="x"</formula>
    </cfRule>
  </conditionalFormatting>
  <conditionalFormatting sqref="H346">
    <cfRule type="endsWith" dxfId="372" priority="415" operator="endsWith" text="x">
      <formula>RIGHT(H346,LEN("x"))="x"</formula>
    </cfRule>
  </conditionalFormatting>
  <conditionalFormatting sqref="H346">
    <cfRule type="endsWith" dxfId="371" priority="414" operator="endsWith" text="x">
      <formula>RIGHT(H346,LEN("x"))="x"</formula>
    </cfRule>
  </conditionalFormatting>
  <conditionalFormatting sqref="H346">
    <cfRule type="endsWith" dxfId="370" priority="413" operator="endsWith" text="x">
      <formula>RIGHT(H346,LEN("x"))="x"</formula>
    </cfRule>
  </conditionalFormatting>
  <conditionalFormatting sqref="H338">
    <cfRule type="endsWith" dxfId="369" priority="412" operator="endsWith" text="x">
      <formula>RIGHT(H338,LEN("x"))="x"</formula>
    </cfRule>
  </conditionalFormatting>
  <conditionalFormatting sqref="H338">
    <cfRule type="endsWith" dxfId="368" priority="411" operator="endsWith" text="x">
      <formula>RIGHT(H338,LEN("x"))="x"</formula>
    </cfRule>
  </conditionalFormatting>
  <conditionalFormatting sqref="H338">
    <cfRule type="endsWith" dxfId="367" priority="410" operator="endsWith" text="x">
      <formula>RIGHT(H338,LEN("x"))="x"</formula>
    </cfRule>
  </conditionalFormatting>
  <conditionalFormatting sqref="H314">
    <cfRule type="endsWith" dxfId="366" priority="409" operator="endsWith" text="x">
      <formula>RIGHT(H314,LEN("x"))="x"</formula>
    </cfRule>
  </conditionalFormatting>
  <conditionalFormatting sqref="H314">
    <cfRule type="endsWith" dxfId="365" priority="408" operator="endsWith" text="x">
      <formula>RIGHT(H314,LEN("x"))="x"</formula>
    </cfRule>
  </conditionalFormatting>
  <conditionalFormatting sqref="H314">
    <cfRule type="endsWith" dxfId="364" priority="407" operator="endsWith" text="x">
      <formula>RIGHT(H314,LEN("x"))="x"</formula>
    </cfRule>
  </conditionalFormatting>
  <conditionalFormatting sqref="H306">
    <cfRule type="endsWith" dxfId="363" priority="406" operator="endsWith" text="x">
      <formula>RIGHT(H306,LEN("x"))="x"</formula>
    </cfRule>
  </conditionalFormatting>
  <conditionalFormatting sqref="H306">
    <cfRule type="endsWith" dxfId="362" priority="405" operator="endsWith" text="x">
      <formula>RIGHT(H306,LEN("x"))="x"</formula>
    </cfRule>
  </conditionalFormatting>
  <conditionalFormatting sqref="H306">
    <cfRule type="endsWith" dxfId="361" priority="404" operator="endsWith" text="x">
      <formula>RIGHT(H306,LEN("x"))="x"</formula>
    </cfRule>
  </conditionalFormatting>
  <conditionalFormatting sqref="H298">
    <cfRule type="endsWith" dxfId="360" priority="403" operator="endsWith" text="x">
      <formula>RIGHT(H298,LEN("x"))="x"</formula>
    </cfRule>
  </conditionalFormatting>
  <conditionalFormatting sqref="H298">
    <cfRule type="endsWith" dxfId="359" priority="402" operator="endsWith" text="x">
      <formula>RIGHT(H298,LEN("x"))="x"</formula>
    </cfRule>
  </conditionalFormatting>
  <conditionalFormatting sqref="H298">
    <cfRule type="endsWith" dxfId="358" priority="401" operator="endsWith" text="x">
      <formula>RIGHT(H298,LEN("x"))="x"</formula>
    </cfRule>
  </conditionalFormatting>
  <conditionalFormatting sqref="H284">
    <cfRule type="endsWith" dxfId="357" priority="400" operator="endsWith" text="x">
      <formula>RIGHT(H284,LEN("x"))="x"</formula>
    </cfRule>
  </conditionalFormatting>
  <conditionalFormatting sqref="H284">
    <cfRule type="endsWith" dxfId="356" priority="399" operator="endsWith" text="x">
      <formula>RIGHT(H284,LEN("x"))="x"</formula>
    </cfRule>
  </conditionalFormatting>
  <conditionalFormatting sqref="H284">
    <cfRule type="endsWith" dxfId="355" priority="398" operator="endsWith" text="x">
      <formula>RIGHT(H284,LEN("x"))="x"</formula>
    </cfRule>
  </conditionalFormatting>
  <conditionalFormatting sqref="H276">
    <cfRule type="endsWith" dxfId="354" priority="397" operator="endsWith" text="x">
      <formula>RIGHT(H276,LEN("x"))="x"</formula>
    </cfRule>
  </conditionalFormatting>
  <conditionalFormatting sqref="H276">
    <cfRule type="endsWith" dxfId="353" priority="396" operator="endsWith" text="x">
      <formula>RIGHT(H276,LEN("x"))="x"</formula>
    </cfRule>
  </conditionalFormatting>
  <conditionalFormatting sqref="H276">
    <cfRule type="endsWith" dxfId="352" priority="395" operator="endsWith" text="x">
      <formula>RIGHT(H276,LEN("x"))="x"</formula>
    </cfRule>
  </conditionalFormatting>
  <conditionalFormatting sqref="H268">
    <cfRule type="endsWith" dxfId="351" priority="394" operator="endsWith" text="x">
      <formula>RIGHT(H268,LEN("x"))="x"</formula>
    </cfRule>
  </conditionalFormatting>
  <conditionalFormatting sqref="H268">
    <cfRule type="endsWith" dxfId="350" priority="393" operator="endsWith" text="x">
      <formula>RIGHT(H268,LEN("x"))="x"</formula>
    </cfRule>
  </conditionalFormatting>
  <conditionalFormatting sqref="H268">
    <cfRule type="endsWith" dxfId="349" priority="392" operator="endsWith" text="x">
      <formula>RIGHT(H268,LEN("x"))="x"</formula>
    </cfRule>
  </conditionalFormatting>
  <conditionalFormatting sqref="H254">
    <cfRule type="endsWith" dxfId="348" priority="391" operator="endsWith" text="x">
      <formula>RIGHT(H254,LEN("x"))="x"</formula>
    </cfRule>
  </conditionalFormatting>
  <conditionalFormatting sqref="H254">
    <cfRule type="endsWith" dxfId="347" priority="390" operator="endsWith" text="x">
      <formula>RIGHT(H254,LEN("x"))="x"</formula>
    </cfRule>
  </conditionalFormatting>
  <conditionalFormatting sqref="H254">
    <cfRule type="endsWith" dxfId="346" priority="389" operator="endsWith" text="x">
      <formula>RIGHT(H254,LEN("x"))="x"</formula>
    </cfRule>
  </conditionalFormatting>
  <conditionalFormatting sqref="H240">
    <cfRule type="endsWith" dxfId="345" priority="388" operator="endsWith" text="x">
      <formula>RIGHT(H240,LEN("x"))="x"</formula>
    </cfRule>
  </conditionalFormatting>
  <conditionalFormatting sqref="H240">
    <cfRule type="endsWith" dxfId="344" priority="387" operator="endsWith" text="x">
      <formula>RIGHT(H240,LEN("x"))="x"</formula>
    </cfRule>
  </conditionalFormatting>
  <conditionalFormatting sqref="H240">
    <cfRule type="endsWith" dxfId="343" priority="386" operator="endsWith" text="x">
      <formula>RIGHT(H240,LEN("x"))="x"</formula>
    </cfRule>
  </conditionalFormatting>
  <conditionalFormatting sqref="H226">
    <cfRule type="endsWith" dxfId="342" priority="385" operator="endsWith" text="x">
      <formula>RIGHT(H226,LEN("x"))="x"</formula>
    </cfRule>
  </conditionalFormatting>
  <conditionalFormatting sqref="H226">
    <cfRule type="endsWith" dxfId="341" priority="384" operator="endsWith" text="x">
      <formula>RIGHT(H226,LEN("x"))="x"</formula>
    </cfRule>
  </conditionalFormatting>
  <conditionalFormatting sqref="H226">
    <cfRule type="endsWith" dxfId="340" priority="383" operator="endsWith" text="x">
      <formula>RIGHT(H226,LEN("x"))="x"</formula>
    </cfRule>
  </conditionalFormatting>
  <conditionalFormatting sqref="H218">
    <cfRule type="endsWith" dxfId="339" priority="382" operator="endsWith" text="x">
      <formula>RIGHT(H218,LEN("x"))="x"</formula>
    </cfRule>
  </conditionalFormatting>
  <conditionalFormatting sqref="H218">
    <cfRule type="endsWith" dxfId="338" priority="381" operator="endsWith" text="x">
      <formula>RIGHT(H218,LEN("x"))="x"</formula>
    </cfRule>
  </conditionalFormatting>
  <conditionalFormatting sqref="H218">
    <cfRule type="endsWith" dxfId="337" priority="380" operator="endsWith" text="x">
      <formula>RIGHT(H218,LEN("x"))="x"</formula>
    </cfRule>
  </conditionalFormatting>
  <conditionalFormatting sqref="H204">
    <cfRule type="endsWith" dxfId="336" priority="379" operator="endsWith" text="x">
      <formula>RIGHT(H204,LEN("x"))="x"</formula>
    </cfRule>
  </conditionalFormatting>
  <conditionalFormatting sqref="H204">
    <cfRule type="endsWith" dxfId="335" priority="378" operator="endsWith" text="x">
      <formula>RIGHT(H204,LEN("x"))="x"</formula>
    </cfRule>
  </conditionalFormatting>
  <conditionalFormatting sqref="H204">
    <cfRule type="endsWith" dxfId="334" priority="377" operator="endsWith" text="x">
      <formula>RIGHT(H204,LEN("x"))="x"</formula>
    </cfRule>
  </conditionalFormatting>
  <conditionalFormatting sqref="H330">
    <cfRule type="endsWith" dxfId="333" priority="376" operator="endsWith" text="x">
      <formula>RIGHT(H330,LEN("x"))="x"</formula>
    </cfRule>
  </conditionalFormatting>
  <conditionalFormatting sqref="H330">
    <cfRule type="endsWith" dxfId="332" priority="375" operator="endsWith" text="x">
      <formula>RIGHT(H330,LEN("x"))="x"</formula>
    </cfRule>
  </conditionalFormatting>
  <conditionalFormatting sqref="H330">
    <cfRule type="endsWith" dxfId="331" priority="374" operator="endsWith" text="x">
      <formula>RIGHT(H330,LEN("x"))="x"</formula>
    </cfRule>
  </conditionalFormatting>
  <conditionalFormatting sqref="H322">
    <cfRule type="endsWith" dxfId="330" priority="373" operator="endsWith" text="x">
      <formula>RIGHT(H322,LEN("x"))="x"</formula>
    </cfRule>
  </conditionalFormatting>
  <conditionalFormatting sqref="H322">
    <cfRule type="endsWith" dxfId="329" priority="372" operator="endsWith" text="x">
      <formula>RIGHT(H322,LEN("x"))="x"</formula>
    </cfRule>
  </conditionalFormatting>
  <conditionalFormatting sqref="H322">
    <cfRule type="endsWith" dxfId="328" priority="371" operator="endsWith" text="x">
      <formula>RIGHT(H322,LEN("x"))="x"</formula>
    </cfRule>
  </conditionalFormatting>
  <conditionalFormatting sqref="J838">
    <cfRule type="endsWith" dxfId="327" priority="370" operator="endsWith" text="x">
      <formula>RIGHT(J838,LEN("x"))="x"</formula>
    </cfRule>
  </conditionalFormatting>
  <conditionalFormatting sqref="J838">
    <cfRule type="endsWith" dxfId="326" priority="369" operator="endsWith" text="x">
      <formula>RIGHT(J838,LEN("x"))="x"</formula>
    </cfRule>
  </conditionalFormatting>
  <conditionalFormatting sqref="J838">
    <cfRule type="endsWith" dxfId="325" priority="368" operator="endsWith" text="x">
      <formula>RIGHT(J838,LEN("x"))="x"</formula>
    </cfRule>
  </conditionalFormatting>
  <conditionalFormatting sqref="J832">
    <cfRule type="endsWith" dxfId="324" priority="367" operator="endsWith" text="x">
      <formula>RIGHT(J832,LEN("x"))="x"</formula>
    </cfRule>
  </conditionalFormatting>
  <conditionalFormatting sqref="J832">
    <cfRule type="endsWith" dxfId="323" priority="366" operator="endsWith" text="x">
      <formula>RIGHT(J832,LEN("x"))="x"</formula>
    </cfRule>
  </conditionalFormatting>
  <conditionalFormatting sqref="J832">
    <cfRule type="endsWith" dxfId="322" priority="365" operator="endsWith" text="x">
      <formula>RIGHT(J832,LEN("x"))="x"</formula>
    </cfRule>
  </conditionalFormatting>
  <conditionalFormatting sqref="J811">
    <cfRule type="endsWith" dxfId="321" priority="364" operator="endsWith" text="x">
      <formula>RIGHT(J811,LEN("x"))="x"</formula>
    </cfRule>
  </conditionalFormatting>
  <conditionalFormatting sqref="J811">
    <cfRule type="endsWith" dxfId="320" priority="363" operator="endsWith" text="x">
      <formula>RIGHT(J811,LEN("x"))="x"</formula>
    </cfRule>
  </conditionalFormatting>
  <conditionalFormatting sqref="J811">
    <cfRule type="endsWith" dxfId="319" priority="362" operator="endsWith" text="x">
      <formula>RIGHT(J811,LEN("x"))="x"</formula>
    </cfRule>
  </conditionalFormatting>
  <conditionalFormatting sqref="J798">
    <cfRule type="endsWith" dxfId="318" priority="361" operator="endsWith" text="x">
      <formula>RIGHT(J798,LEN("x"))="x"</formula>
    </cfRule>
  </conditionalFormatting>
  <conditionalFormatting sqref="J798">
    <cfRule type="endsWith" dxfId="317" priority="360" operator="endsWith" text="x">
      <formula>RIGHT(J798,LEN("x"))="x"</formula>
    </cfRule>
  </conditionalFormatting>
  <conditionalFormatting sqref="J798">
    <cfRule type="endsWith" dxfId="316" priority="359" operator="endsWith" text="x">
      <formula>RIGHT(J798,LEN("x"))="x"</formula>
    </cfRule>
  </conditionalFormatting>
  <conditionalFormatting sqref="J785">
    <cfRule type="endsWith" dxfId="315" priority="358" operator="endsWith" text="x">
      <formula>RIGHT(J785,LEN("x"))="x"</formula>
    </cfRule>
  </conditionalFormatting>
  <conditionalFormatting sqref="J785">
    <cfRule type="endsWith" dxfId="314" priority="357" operator="endsWith" text="x">
      <formula>RIGHT(J785,LEN("x"))="x"</formula>
    </cfRule>
  </conditionalFormatting>
  <conditionalFormatting sqref="J785">
    <cfRule type="endsWith" dxfId="313" priority="356" operator="endsWith" text="x">
      <formula>RIGHT(J785,LEN("x"))="x"</formula>
    </cfRule>
  </conditionalFormatting>
  <conditionalFormatting sqref="J772">
    <cfRule type="endsWith" dxfId="312" priority="355" operator="endsWith" text="x">
      <formula>RIGHT(J772,LEN("x"))="x"</formula>
    </cfRule>
  </conditionalFormatting>
  <conditionalFormatting sqref="J772">
    <cfRule type="endsWith" dxfId="311" priority="354" operator="endsWith" text="x">
      <formula>RIGHT(J772,LEN("x"))="x"</formula>
    </cfRule>
  </conditionalFormatting>
  <conditionalFormatting sqref="J772">
    <cfRule type="endsWith" dxfId="310" priority="353" operator="endsWith" text="x">
      <formula>RIGHT(J772,LEN("x"))="x"</formula>
    </cfRule>
  </conditionalFormatting>
  <conditionalFormatting sqref="J759">
    <cfRule type="endsWith" dxfId="309" priority="352" operator="endsWith" text="x">
      <formula>RIGHT(J759,LEN("x"))="x"</formula>
    </cfRule>
  </conditionalFormatting>
  <conditionalFormatting sqref="J759">
    <cfRule type="endsWith" dxfId="308" priority="351" operator="endsWith" text="x">
      <formula>RIGHT(J759,LEN("x"))="x"</formula>
    </cfRule>
  </conditionalFormatting>
  <conditionalFormatting sqref="J759">
    <cfRule type="endsWith" dxfId="307" priority="350" operator="endsWith" text="x">
      <formula>RIGHT(J759,LEN("x"))="x"</formula>
    </cfRule>
  </conditionalFormatting>
  <conditionalFormatting sqref="J746">
    <cfRule type="endsWith" dxfId="306" priority="349" operator="endsWith" text="x">
      <formula>RIGHT(J746,LEN("x"))="x"</formula>
    </cfRule>
  </conditionalFormatting>
  <conditionalFormatting sqref="J746">
    <cfRule type="endsWith" dxfId="305" priority="348" operator="endsWith" text="x">
      <formula>RIGHT(J746,LEN("x"))="x"</formula>
    </cfRule>
  </conditionalFormatting>
  <conditionalFormatting sqref="J746">
    <cfRule type="endsWith" dxfId="304" priority="347" operator="endsWith" text="x">
      <formula>RIGHT(J746,LEN("x"))="x"</formula>
    </cfRule>
  </conditionalFormatting>
  <conditionalFormatting sqref="J733">
    <cfRule type="endsWith" dxfId="303" priority="346" operator="endsWith" text="x">
      <formula>RIGHT(J733,LEN("x"))="x"</formula>
    </cfRule>
  </conditionalFormatting>
  <conditionalFormatting sqref="J733">
    <cfRule type="endsWith" dxfId="302" priority="345" operator="endsWith" text="x">
      <formula>RIGHT(J733,LEN("x"))="x"</formula>
    </cfRule>
  </conditionalFormatting>
  <conditionalFormatting sqref="J733">
    <cfRule type="endsWith" dxfId="301" priority="344" operator="endsWith" text="x">
      <formula>RIGHT(J733,LEN("x"))="x"</formula>
    </cfRule>
  </conditionalFormatting>
  <conditionalFormatting sqref="J720">
    <cfRule type="endsWith" dxfId="300" priority="343" operator="endsWith" text="x">
      <formula>RIGHT(J720,LEN("x"))="x"</formula>
    </cfRule>
  </conditionalFormatting>
  <conditionalFormatting sqref="J720">
    <cfRule type="endsWith" dxfId="299" priority="342" operator="endsWith" text="x">
      <formula>RIGHT(J720,LEN("x"))="x"</formula>
    </cfRule>
  </conditionalFormatting>
  <conditionalFormatting sqref="J720">
    <cfRule type="endsWith" dxfId="298" priority="341" operator="endsWith" text="x">
      <formula>RIGHT(J720,LEN("x"))="x"</formula>
    </cfRule>
  </conditionalFormatting>
  <conditionalFormatting sqref="J707">
    <cfRule type="endsWith" dxfId="297" priority="340" operator="endsWith" text="x">
      <formula>RIGHT(J707,LEN("x"))="x"</formula>
    </cfRule>
  </conditionalFormatting>
  <conditionalFormatting sqref="J707">
    <cfRule type="endsWith" dxfId="296" priority="339" operator="endsWith" text="x">
      <formula>RIGHT(J707,LEN("x"))="x"</formula>
    </cfRule>
  </conditionalFormatting>
  <conditionalFormatting sqref="J707">
    <cfRule type="endsWith" dxfId="295" priority="338" operator="endsWith" text="x">
      <formula>RIGHT(J707,LEN("x"))="x"</formula>
    </cfRule>
  </conditionalFormatting>
  <conditionalFormatting sqref="J694">
    <cfRule type="endsWith" dxfId="294" priority="337" operator="endsWith" text="x">
      <formula>RIGHT(J694,LEN("x"))="x"</formula>
    </cfRule>
  </conditionalFormatting>
  <conditionalFormatting sqref="J694">
    <cfRule type="endsWith" dxfId="293" priority="336" operator="endsWith" text="x">
      <formula>RIGHT(J694,LEN("x"))="x"</formula>
    </cfRule>
  </conditionalFormatting>
  <conditionalFormatting sqref="J694">
    <cfRule type="endsWith" dxfId="292" priority="335" operator="endsWith" text="x">
      <formula>RIGHT(J694,LEN("x"))="x"</formula>
    </cfRule>
  </conditionalFormatting>
  <conditionalFormatting sqref="J676">
    <cfRule type="endsWith" dxfId="291" priority="334" operator="endsWith" text="x">
      <formula>RIGHT(J676,LEN("x"))="x"</formula>
    </cfRule>
  </conditionalFormatting>
  <conditionalFormatting sqref="J676">
    <cfRule type="endsWith" dxfId="290" priority="333" operator="endsWith" text="x">
      <formula>RIGHT(J676,LEN("x"))="x"</formula>
    </cfRule>
  </conditionalFormatting>
  <conditionalFormatting sqref="J676">
    <cfRule type="endsWith" dxfId="289" priority="332" operator="endsWith" text="x">
      <formula>RIGHT(J676,LEN("x"))="x"</formula>
    </cfRule>
  </conditionalFormatting>
  <conditionalFormatting sqref="I684">
    <cfRule type="endsWith" dxfId="288" priority="331" operator="endsWith" text="x">
      <formula>RIGHT(I684,LEN("x"))="x"</formula>
    </cfRule>
  </conditionalFormatting>
  <conditionalFormatting sqref="I684">
    <cfRule type="endsWith" dxfId="287" priority="330" operator="endsWith" text="x">
      <formula>RIGHT(I684,LEN("x"))="x"</formula>
    </cfRule>
  </conditionalFormatting>
  <conditionalFormatting sqref="I684">
    <cfRule type="endsWith" dxfId="286" priority="329" operator="endsWith" text="x">
      <formula>RIGHT(I684,LEN("x"))="x"</formula>
    </cfRule>
  </conditionalFormatting>
  <conditionalFormatting sqref="J668">
    <cfRule type="endsWith" dxfId="285" priority="328" operator="endsWith" text="x">
      <formula>RIGHT(J668,LEN("x"))="x"</formula>
    </cfRule>
  </conditionalFormatting>
  <conditionalFormatting sqref="J668">
    <cfRule type="endsWith" dxfId="284" priority="327" operator="endsWith" text="x">
      <formula>RIGHT(J668,LEN("x"))="x"</formula>
    </cfRule>
  </conditionalFormatting>
  <conditionalFormatting sqref="J668">
    <cfRule type="endsWith" dxfId="283" priority="326" operator="endsWith" text="x">
      <formula>RIGHT(J668,LEN("x"))="x"</formula>
    </cfRule>
  </conditionalFormatting>
  <conditionalFormatting sqref="J660">
    <cfRule type="endsWith" dxfId="282" priority="325" operator="endsWith" text="x">
      <formula>RIGHT(J660,LEN("x"))="x"</formula>
    </cfRule>
  </conditionalFormatting>
  <conditionalFormatting sqref="J660">
    <cfRule type="endsWith" dxfId="281" priority="324" operator="endsWith" text="x">
      <formula>RIGHT(J660,LEN("x"))="x"</formula>
    </cfRule>
  </conditionalFormatting>
  <conditionalFormatting sqref="J660">
    <cfRule type="endsWith" dxfId="280" priority="323" operator="endsWith" text="x">
      <formula>RIGHT(J660,LEN("x"))="x"</formula>
    </cfRule>
  </conditionalFormatting>
  <conditionalFormatting sqref="J652">
    <cfRule type="endsWith" dxfId="279" priority="322" operator="endsWith" text="x">
      <formula>RIGHT(J652,LEN("x"))="x"</formula>
    </cfRule>
  </conditionalFormatting>
  <conditionalFormatting sqref="J652">
    <cfRule type="endsWith" dxfId="278" priority="321" operator="endsWith" text="x">
      <formula>RIGHT(J652,LEN("x"))="x"</formula>
    </cfRule>
  </conditionalFormatting>
  <conditionalFormatting sqref="J652">
    <cfRule type="endsWith" dxfId="277" priority="320" operator="endsWith" text="x">
      <formula>RIGHT(J652,LEN("x"))="x"</formula>
    </cfRule>
  </conditionalFormatting>
  <conditionalFormatting sqref="J642">
    <cfRule type="endsWith" dxfId="276" priority="319" operator="endsWith" text="x">
      <formula>RIGHT(J642,LEN("x"))="x"</formula>
    </cfRule>
  </conditionalFormatting>
  <conditionalFormatting sqref="J642">
    <cfRule type="endsWith" dxfId="275" priority="318" operator="endsWith" text="x">
      <formula>RIGHT(J642,LEN("x"))="x"</formula>
    </cfRule>
  </conditionalFormatting>
  <conditionalFormatting sqref="J642">
    <cfRule type="endsWith" dxfId="274" priority="317" operator="endsWith" text="x">
      <formula>RIGHT(J642,LEN("x"))="x"</formula>
    </cfRule>
  </conditionalFormatting>
  <conditionalFormatting sqref="J630">
    <cfRule type="endsWith" dxfId="273" priority="316" operator="endsWith" text="x">
      <formula>RIGHT(J630,LEN("x"))="x"</formula>
    </cfRule>
  </conditionalFormatting>
  <conditionalFormatting sqref="J630">
    <cfRule type="endsWith" dxfId="272" priority="315" operator="endsWith" text="x">
      <formula>RIGHT(J630,LEN("x"))="x"</formula>
    </cfRule>
  </conditionalFormatting>
  <conditionalFormatting sqref="J630">
    <cfRule type="endsWith" dxfId="271" priority="314" operator="endsWith" text="x">
      <formula>RIGHT(J630,LEN("x"))="x"</formula>
    </cfRule>
  </conditionalFormatting>
  <conditionalFormatting sqref="J624">
    <cfRule type="endsWith" dxfId="270" priority="313" operator="endsWith" text="x">
      <formula>RIGHT(J624,LEN("x"))="x"</formula>
    </cfRule>
  </conditionalFormatting>
  <conditionalFormatting sqref="J624">
    <cfRule type="endsWith" dxfId="269" priority="312" operator="endsWith" text="x">
      <formula>RIGHT(J624,LEN("x"))="x"</formula>
    </cfRule>
  </conditionalFormatting>
  <conditionalFormatting sqref="J624">
    <cfRule type="endsWith" dxfId="268" priority="311" operator="endsWith" text="x">
      <formula>RIGHT(J624,LEN("x"))="x"</formula>
    </cfRule>
  </conditionalFormatting>
  <conditionalFormatting sqref="J618">
    <cfRule type="endsWith" dxfId="267" priority="310" operator="endsWith" text="x">
      <formula>RIGHT(J618,LEN("x"))="x"</formula>
    </cfRule>
  </conditionalFormatting>
  <conditionalFormatting sqref="J618">
    <cfRule type="endsWith" dxfId="266" priority="309" operator="endsWith" text="x">
      <formula>RIGHT(J618,LEN("x"))="x"</formula>
    </cfRule>
  </conditionalFormatting>
  <conditionalFormatting sqref="J618">
    <cfRule type="endsWith" dxfId="265" priority="308" operator="endsWith" text="x">
      <formula>RIGHT(J618,LEN("x"))="x"</formula>
    </cfRule>
  </conditionalFormatting>
  <conditionalFormatting sqref="J612">
    <cfRule type="endsWith" dxfId="264" priority="307" operator="endsWith" text="x">
      <formula>RIGHT(J612,LEN("x"))="x"</formula>
    </cfRule>
  </conditionalFormatting>
  <conditionalFormatting sqref="J612">
    <cfRule type="endsWith" dxfId="263" priority="306" operator="endsWith" text="x">
      <formula>RIGHT(J612,LEN("x"))="x"</formula>
    </cfRule>
  </conditionalFormatting>
  <conditionalFormatting sqref="J612">
    <cfRule type="endsWith" dxfId="262" priority="305" operator="endsWith" text="x">
      <formula>RIGHT(J612,LEN("x"))="x"</formula>
    </cfRule>
  </conditionalFormatting>
  <conditionalFormatting sqref="J606">
    <cfRule type="endsWith" dxfId="261" priority="304" operator="endsWith" text="x">
      <formula>RIGHT(J606,LEN("x"))="x"</formula>
    </cfRule>
  </conditionalFormatting>
  <conditionalFormatting sqref="J606">
    <cfRule type="endsWith" dxfId="260" priority="303" operator="endsWith" text="x">
      <formula>RIGHT(J606,LEN("x"))="x"</formula>
    </cfRule>
  </conditionalFormatting>
  <conditionalFormatting sqref="J606">
    <cfRule type="endsWith" dxfId="259" priority="302" operator="endsWith" text="x">
      <formula>RIGHT(J606,LEN("x"))="x"</formula>
    </cfRule>
  </conditionalFormatting>
  <conditionalFormatting sqref="J598">
    <cfRule type="endsWith" dxfId="258" priority="301" operator="endsWith" text="x">
      <formula>RIGHT(J598,LEN("x"))="x"</formula>
    </cfRule>
  </conditionalFormatting>
  <conditionalFormatting sqref="J598">
    <cfRule type="endsWith" dxfId="257" priority="300" operator="endsWith" text="x">
      <formula>RIGHT(J598,LEN("x"))="x"</formula>
    </cfRule>
  </conditionalFormatting>
  <conditionalFormatting sqref="J598">
    <cfRule type="endsWith" dxfId="256" priority="299" operator="endsWith" text="x">
      <formula>RIGHT(J598,LEN("x"))="x"</formula>
    </cfRule>
  </conditionalFormatting>
  <conditionalFormatting sqref="J592">
    <cfRule type="endsWith" dxfId="255" priority="298" operator="endsWith" text="x">
      <formula>RIGHT(J592,LEN("x"))="x"</formula>
    </cfRule>
  </conditionalFormatting>
  <conditionalFormatting sqref="J592">
    <cfRule type="endsWith" dxfId="254" priority="297" operator="endsWith" text="x">
      <formula>RIGHT(J592,LEN("x"))="x"</formula>
    </cfRule>
  </conditionalFormatting>
  <conditionalFormatting sqref="J592">
    <cfRule type="endsWith" dxfId="253" priority="296" operator="endsWith" text="x">
      <formula>RIGHT(J592,LEN("x"))="x"</formula>
    </cfRule>
  </conditionalFormatting>
  <conditionalFormatting sqref="J586">
    <cfRule type="endsWith" dxfId="252" priority="295" operator="endsWith" text="x">
      <formula>RIGHT(J586,LEN("x"))="x"</formula>
    </cfRule>
  </conditionalFormatting>
  <conditionalFormatting sqref="J586">
    <cfRule type="endsWith" dxfId="251" priority="294" operator="endsWith" text="x">
      <formula>RIGHT(J586,LEN("x"))="x"</formula>
    </cfRule>
  </conditionalFormatting>
  <conditionalFormatting sqref="J586">
    <cfRule type="endsWith" dxfId="250" priority="293" operator="endsWith" text="x">
      <formula>RIGHT(J586,LEN("x"))="x"</formula>
    </cfRule>
  </conditionalFormatting>
  <conditionalFormatting sqref="J580">
    <cfRule type="endsWith" dxfId="249" priority="292" operator="endsWith" text="x">
      <formula>RIGHT(J580,LEN("x"))="x"</formula>
    </cfRule>
  </conditionalFormatting>
  <conditionalFormatting sqref="J580">
    <cfRule type="endsWith" dxfId="248" priority="291" operator="endsWith" text="x">
      <formula>RIGHT(J580,LEN("x"))="x"</formula>
    </cfRule>
  </conditionalFormatting>
  <conditionalFormatting sqref="J580">
    <cfRule type="endsWith" dxfId="247" priority="290" operator="endsWith" text="x">
      <formula>RIGHT(J580,LEN("x"))="x"</formula>
    </cfRule>
  </conditionalFormatting>
  <conditionalFormatting sqref="J574">
    <cfRule type="endsWith" dxfId="246" priority="289" operator="endsWith" text="x">
      <formula>RIGHT(J574,LEN("x"))="x"</formula>
    </cfRule>
  </conditionalFormatting>
  <conditionalFormatting sqref="J574">
    <cfRule type="endsWith" dxfId="245" priority="288" operator="endsWith" text="x">
      <formula>RIGHT(J574,LEN("x"))="x"</formula>
    </cfRule>
  </conditionalFormatting>
  <conditionalFormatting sqref="J574">
    <cfRule type="endsWith" dxfId="244" priority="287" operator="endsWith" text="x">
      <formula>RIGHT(J574,LEN("x"))="x"</formula>
    </cfRule>
  </conditionalFormatting>
  <conditionalFormatting sqref="J568">
    <cfRule type="endsWith" dxfId="243" priority="286" operator="endsWith" text="x">
      <formula>RIGHT(J568,LEN("x"))="x"</formula>
    </cfRule>
  </conditionalFormatting>
  <conditionalFormatting sqref="J568">
    <cfRule type="endsWith" dxfId="242" priority="285" operator="endsWith" text="x">
      <formula>RIGHT(J568,LEN("x"))="x"</formula>
    </cfRule>
  </conditionalFormatting>
  <conditionalFormatting sqref="J568">
    <cfRule type="endsWith" dxfId="241" priority="284" operator="endsWith" text="x">
      <formula>RIGHT(J568,LEN("x"))="x"</formula>
    </cfRule>
  </conditionalFormatting>
  <conditionalFormatting sqref="J560">
    <cfRule type="endsWith" dxfId="240" priority="283" operator="endsWith" text="x">
      <formula>RIGHT(J560,LEN("x"))="x"</formula>
    </cfRule>
  </conditionalFormatting>
  <conditionalFormatting sqref="J560">
    <cfRule type="endsWith" dxfId="239" priority="282" operator="endsWith" text="x">
      <formula>RIGHT(J560,LEN("x"))="x"</formula>
    </cfRule>
  </conditionalFormatting>
  <conditionalFormatting sqref="J560">
    <cfRule type="endsWith" dxfId="238" priority="281" operator="endsWith" text="x">
      <formula>RIGHT(J560,LEN("x"))="x"</formula>
    </cfRule>
  </conditionalFormatting>
  <conditionalFormatting sqref="J554">
    <cfRule type="endsWith" dxfId="237" priority="280" operator="endsWith" text="x">
      <formula>RIGHT(J554,LEN("x"))="x"</formula>
    </cfRule>
  </conditionalFormatting>
  <conditionalFormatting sqref="J554">
    <cfRule type="endsWith" dxfId="236" priority="279" operator="endsWith" text="x">
      <formula>RIGHT(J554,LEN("x"))="x"</formula>
    </cfRule>
  </conditionalFormatting>
  <conditionalFormatting sqref="J554">
    <cfRule type="endsWith" dxfId="235" priority="278" operator="endsWith" text="x">
      <formula>RIGHT(J554,LEN("x"))="x"</formula>
    </cfRule>
  </conditionalFormatting>
  <conditionalFormatting sqref="J544">
    <cfRule type="endsWith" dxfId="234" priority="277" operator="endsWith" text="x">
      <formula>RIGHT(J544,LEN("x"))="x"</formula>
    </cfRule>
  </conditionalFormatting>
  <conditionalFormatting sqref="J544">
    <cfRule type="endsWith" dxfId="233" priority="276" operator="endsWith" text="x">
      <formula>RIGHT(J544,LEN("x"))="x"</formula>
    </cfRule>
  </conditionalFormatting>
  <conditionalFormatting sqref="J544">
    <cfRule type="endsWith" dxfId="232" priority="275" operator="endsWith" text="x">
      <formula>RIGHT(J544,LEN("x"))="x"</formula>
    </cfRule>
  </conditionalFormatting>
  <conditionalFormatting sqref="J538">
    <cfRule type="endsWith" dxfId="231" priority="274" operator="endsWith" text="x">
      <formula>RIGHT(J538,LEN("x"))="x"</formula>
    </cfRule>
  </conditionalFormatting>
  <conditionalFormatting sqref="J538">
    <cfRule type="endsWith" dxfId="230" priority="273" operator="endsWith" text="x">
      <formula>RIGHT(J538,LEN("x"))="x"</formula>
    </cfRule>
  </conditionalFormatting>
  <conditionalFormatting sqref="J538">
    <cfRule type="endsWith" dxfId="229" priority="272" operator="endsWith" text="x">
      <formula>RIGHT(J538,LEN("x"))="x"</formula>
    </cfRule>
  </conditionalFormatting>
  <conditionalFormatting sqref="J532">
    <cfRule type="endsWith" dxfId="228" priority="271" operator="endsWith" text="x">
      <formula>RIGHT(J532,LEN("x"))="x"</formula>
    </cfRule>
  </conditionalFormatting>
  <conditionalFormatting sqref="J532">
    <cfRule type="endsWith" dxfId="227" priority="270" operator="endsWith" text="x">
      <formula>RIGHT(J532,LEN("x"))="x"</formula>
    </cfRule>
  </conditionalFormatting>
  <conditionalFormatting sqref="J532">
    <cfRule type="endsWith" dxfId="226" priority="269" operator="endsWith" text="x">
      <formula>RIGHT(J532,LEN("x"))="x"</formula>
    </cfRule>
  </conditionalFormatting>
  <conditionalFormatting sqref="J526">
    <cfRule type="endsWith" dxfId="225" priority="268" operator="endsWith" text="x">
      <formula>RIGHT(J526,LEN("x"))="x"</formula>
    </cfRule>
  </conditionalFormatting>
  <conditionalFormatting sqref="J526">
    <cfRule type="endsWith" dxfId="224" priority="267" operator="endsWith" text="x">
      <formula>RIGHT(J526,LEN("x"))="x"</formula>
    </cfRule>
  </conditionalFormatting>
  <conditionalFormatting sqref="J526">
    <cfRule type="endsWith" dxfId="223" priority="266" operator="endsWith" text="x">
      <formula>RIGHT(J526,LEN("x"))="x"</formula>
    </cfRule>
  </conditionalFormatting>
  <conditionalFormatting sqref="J520">
    <cfRule type="endsWith" dxfId="222" priority="265" operator="endsWith" text="x">
      <formula>RIGHT(J520,LEN("x"))="x"</formula>
    </cfRule>
  </conditionalFormatting>
  <conditionalFormatting sqref="J520">
    <cfRule type="endsWith" dxfId="221" priority="264" operator="endsWith" text="x">
      <formula>RIGHT(J520,LEN("x"))="x"</formula>
    </cfRule>
  </conditionalFormatting>
  <conditionalFormatting sqref="J520">
    <cfRule type="endsWith" dxfId="220" priority="263" operator="endsWith" text="x">
      <formula>RIGHT(J520,LEN("x"))="x"</formula>
    </cfRule>
  </conditionalFormatting>
  <conditionalFormatting sqref="J514">
    <cfRule type="endsWith" dxfId="219" priority="262" operator="endsWith" text="x">
      <formula>RIGHT(J514,LEN("x"))="x"</formula>
    </cfRule>
  </conditionalFormatting>
  <conditionalFormatting sqref="J514">
    <cfRule type="endsWith" dxfId="218" priority="261" operator="endsWith" text="x">
      <formula>RIGHT(J514,LEN("x"))="x"</formula>
    </cfRule>
  </conditionalFormatting>
  <conditionalFormatting sqref="J514">
    <cfRule type="endsWith" dxfId="217" priority="260" operator="endsWith" text="x">
      <formula>RIGHT(J514,LEN("x"))="x"</formula>
    </cfRule>
  </conditionalFormatting>
  <conditionalFormatting sqref="J500">
    <cfRule type="endsWith" dxfId="216" priority="259" operator="endsWith" text="x">
      <formula>RIGHT(J500,LEN("x"))="x"</formula>
    </cfRule>
  </conditionalFormatting>
  <conditionalFormatting sqref="J500">
    <cfRule type="endsWith" dxfId="215" priority="258" operator="endsWith" text="x">
      <formula>RIGHT(J500,LEN("x"))="x"</formula>
    </cfRule>
  </conditionalFormatting>
  <conditionalFormatting sqref="J500">
    <cfRule type="endsWith" dxfId="214" priority="257" operator="endsWith" text="x">
      <formula>RIGHT(J500,LEN("x"))="x"</formula>
    </cfRule>
  </conditionalFormatting>
  <conditionalFormatting sqref="J494">
    <cfRule type="endsWith" dxfId="213" priority="256" operator="endsWith" text="x">
      <formula>RIGHT(J494,LEN("x"))="x"</formula>
    </cfRule>
  </conditionalFormatting>
  <conditionalFormatting sqref="J494">
    <cfRule type="endsWith" dxfId="212" priority="255" operator="endsWith" text="x">
      <formula>RIGHT(J494,LEN("x"))="x"</formula>
    </cfRule>
  </conditionalFormatting>
  <conditionalFormatting sqref="J494">
    <cfRule type="endsWith" dxfId="211" priority="254" operator="endsWith" text="x">
      <formula>RIGHT(J494,LEN("x"))="x"</formula>
    </cfRule>
  </conditionalFormatting>
  <conditionalFormatting sqref="J488">
    <cfRule type="endsWith" dxfId="210" priority="253" operator="endsWith" text="x">
      <formula>RIGHT(J488,LEN("x"))="x"</formula>
    </cfRule>
  </conditionalFormatting>
  <conditionalFormatting sqref="J488">
    <cfRule type="endsWith" dxfId="209" priority="252" operator="endsWith" text="x">
      <formula>RIGHT(J488,LEN("x"))="x"</formula>
    </cfRule>
  </conditionalFormatting>
  <conditionalFormatting sqref="J488">
    <cfRule type="endsWith" dxfId="208" priority="251" operator="endsWith" text="x">
      <formula>RIGHT(J488,LEN("x"))="x"</formula>
    </cfRule>
  </conditionalFormatting>
  <conditionalFormatting sqref="J476">
    <cfRule type="endsWith" dxfId="207" priority="250" operator="endsWith" text="x">
      <formula>RIGHT(J476,LEN("x"))="x"</formula>
    </cfRule>
  </conditionalFormatting>
  <conditionalFormatting sqref="J476">
    <cfRule type="endsWith" dxfId="206" priority="249" operator="endsWith" text="x">
      <formula>RIGHT(J476,LEN("x"))="x"</formula>
    </cfRule>
  </conditionalFormatting>
  <conditionalFormatting sqref="J476">
    <cfRule type="endsWith" dxfId="205" priority="248" operator="endsWith" text="x">
      <formula>RIGHT(J476,LEN("x"))="x"</formula>
    </cfRule>
  </conditionalFormatting>
  <conditionalFormatting sqref="J470">
    <cfRule type="endsWith" dxfId="204" priority="247" operator="endsWith" text="x">
      <formula>RIGHT(J470,LEN("x"))="x"</formula>
    </cfRule>
  </conditionalFormatting>
  <conditionalFormatting sqref="J470">
    <cfRule type="endsWith" dxfId="203" priority="246" operator="endsWith" text="x">
      <formula>RIGHT(J470,LEN("x"))="x"</formula>
    </cfRule>
  </conditionalFormatting>
  <conditionalFormatting sqref="J470">
    <cfRule type="endsWith" dxfId="202" priority="245" operator="endsWith" text="x">
      <formula>RIGHT(J470,LEN("x"))="x"</formula>
    </cfRule>
  </conditionalFormatting>
  <conditionalFormatting sqref="J464">
    <cfRule type="endsWith" dxfId="201" priority="244" operator="endsWith" text="x">
      <formula>RIGHT(J464,LEN("x"))="x"</formula>
    </cfRule>
  </conditionalFormatting>
  <conditionalFormatting sqref="J464">
    <cfRule type="endsWith" dxfId="200" priority="243" operator="endsWith" text="x">
      <formula>RIGHT(J464,LEN("x"))="x"</formula>
    </cfRule>
  </conditionalFormatting>
  <conditionalFormatting sqref="J464">
    <cfRule type="endsWith" dxfId="199" priority="242" operator="endsWith" text="x">
      <formula>RIGHT(J464,LEN("x"))="x"</formula>
    </cfRule>
  </conditionalFormatting>
  <conditionalFormatting sqref="J458">
    <cfRule type="endsWith" dxfId="198" priority="241" operator="endsWith" text="x">
      <formula>RIGHT(J458,LEN("x"))="x"</formula>
    </cfRule>
  </conditionalFormatting>
  <conditionalFormatting sqref="J458">
    <cfRule type="endsWith" dxfId="197" priority="240" operator="endsWith" text="x">
      <formula>RIGHT(J458,LEN("x"))="x"</formula>
    </cfRule>
  </conditionalFormatting>
  <conditionalFormatting sqref="J458">
    <cfRule type="endsWith" dxfId="196" priority="239" operator="endsWith" text="x">
      <formula>RIGHT(J458,LEN("x"))="x"</formula>
    </cfRule>
  </conditionalFormatting>
  <conditionalFormatting sqref="J452">
    <cfRule type="endsWith" dxfId="195" priority="238" operator="endsWith" text="x">
      <formula>RIGHT(J452,LEN("x"))="x"</formula>
    </cfRule>
  </conditionalFormatting>
  <conditionalFormatting sqref="J452">
    <cfRule type="endsWith" dxfId="194" priority="237" operator="endsWith" text="x">
      <formula>RIGHT(J452,LEN("x"))="x"</formula>
    </cfRule>
  </conditionalFormatting>
  <conditionalFormatting sqref="J452">
    <cfRule type="endsWith" dxfId="193" priority="236" operator="endsWith" text="x">
      <formula>RIGHT(J452,LEN("x"))="x"</formula>
    </cfRule>
  </conditionalFormatting>
  <conditionalFormatting sqref="J446">
    <cfRule type="endsWith" dxfId="192" priority="235" operator="endsWith" text="x">
      <formula>RIGHT(J446,LEN("x"))="x"</formula>
    </cfRule>
  </conditionalFormatting>
  <conditionalFormatting sqref="J446">
    <cfRule type="endsWith" dxfId="191" priority="234" operator="endsWith" text="x">
      <formula>RIGHT(J446,LEN("x"))="x"</formula>
    </cfRule>
  </conditionalFormatting>
  <conditionalFormatting sqref="J446">
    <cfRule type="endsWith" dxfId="190" priority="233" operator="endsWith" text="x">
      <formula>RIGHT(J446,LEN("x"))="x"</formula>
    </cfRule>
  </conditionalFormatting>
  <conditionalFormatting sqref="J440">
    <cfRule type="endsWith" dxfId="189" priority="232" operator="endsWith" text="x">
      <formula>RIGHT(J440,LEN("x"))="x"</formula>
    </cfRule>
  </conditionalFormatting>
  <conditionalFormatting sqref="J440">
    <cfRule type="endsWith" dxfId="188" priority="231" operator="endsWith" text="x">
      <formula>RIGHT(J440,LEN("x"))="x"</formula>
    </cfRule>
  </conditionalFormatting>
  <conditionalFormatting sqref="J440">
    <cfRule type="endsWith" dxfId="187" priority="230" operator="endsWith" text="x">
      <formula>RIGHT(J440,LEN("x"))="x"</formula>
    </cfRule>
  </conditionalFormatting>
  <conditionalFormatting sqref="J434">
    <cfRule type="endsWith" dxfId="186" priority="229" operator="endsWith" text="x">
      <formula>RIGHT(J434,LEN("x"))="x"</formula>
    </cfRule>
  </conditionalFormatting>
  <conditionalFormatting sqref="J434">
    <cfRule type="endsWith" dxfId="185" priority="228" operator="endsWith" text="x">
      <formula>RIGHT(J434,LEN("x"))="x"</formula>
    </cfRule>
  </conditionalFormatting>
  <conditionalFormatting sqref="J434">
    <cfRule type="endsWith" dxfId="184" priority="227" operator="endsWith" text="x">
      <formula>RIGHT(J434,LEN("x"))="x"</formula>
    </cfRule>
  </conditionalFormatting>
  <conditionalFormatting sqref="J428">
    <cfRule type="endsWith" dxfId="183" priority="226" operator="endsWith" text="x">
      <formula>RIGHT(J428,LEN("x"))="x"</formula>
    </cfRule>
  </conditionalFormatting>
  <conditionalFormatting sqref="J428">
    <cfRule type="endsWith" dxfId="182" priority="225" operator="endsWith" text="x">
      <formula>RIGHT(J428,LEN("x"))="x"</formula>
    </cfRule>
  </conditionalFormatting>
  <conditionalFormatting sqref="J428">
    <cfRule type="endsWith" dxfId="181" priority="224" operator="endsWith" text="x">
      <formula>RIGHT(J428,LEN("x"))="x"</formula>
    </cfRule>
  </conditionalFormatting>
  <conditionalFormatting sqref="J422">
    <cfRule type="endsWith" dxfId="180" priority="223" operator="endsWith" text="x">
      <formula>RIGHT(J422,LEN("x"))="x"</formula>
    </cfRule>
  </conditionalFormatting>
  <conditionalFormatting sqref="J422">
    <cfRule type="endsWith" dxfId="179" priority="222" operator="endsWith" text="x">
      <formula>RIGHT(J422,LEN("x"))="x"</formula>
    </cfRule>
  </conditionalFormatting>
  <conditionalFormatting sqref="J422">
    <cfRule type="endsWith" dxfId="178" priority="221" operator="endsWith" text="x">
      <formula>RIGHT(J422,LEN("x"))="x"</formula>
    </cfRule>
  </conditionalFormatting>
  <conditionalFormatting sqref="J416">
    <cfRule type="endsWith" dxfId="177" priority="220" operator="endsWith" text="x">
      <formula>RIGHT(J416,LEN("x"))="x"</formula>
    </cfRule>
  </conditionalFormatting>
  <conditionalFormatting sqref="J416">
    <cfRule type="endsWith" dxfId="176" priority="219" operator="endsWith" text="x">
      <formula>RIGHT(J416,LEN("x"))="x"</formula>
    </cfRule>
  </conditionalFormatting>
  <conditionalFormatting sqref="J416">
    <cfRule type="endsWith" dxfId="175" priority="218" operator="endsWith" text="x">
      <formula>RIGHT(J416,LEN("x"))="x"</formula>
    </cfRule>
  </conditionalFormatting>
  <conditionalFormatting sqref="J410">
    <cfRule type="endsWith" dxfId="174" priority="217" operator="endsWith" text="x">
      <formula>RIGHT(J410,LEN("x"))="x"</formula>
    </cfRule>
  </conditionalFormatting>
  <conditionalFormatting sqref="J410">
    <cfRule type="endsWith" dxfId="173" priority="216" operator="endsWith" text="x">
      <formula>RIGHT(J410,LEN("x"))="x"</formula>
    </cfRule>
  </conditionalFormatting>
  <conditionalFormatting sqref="J410">
    <cfRule type="endsWith" dxfId="172" priority="215" operator="endsWith" text="x">
      <formula>RIGHT(J410,LEN("x"))="x"</formula>
    </cfRule>
  </conditionalFormatting>
  <conditionalFormatting sqref="J404">
    <cfRule type="endsWith" dxfId="171" priority="214" operator="endsWith" text="x">
      <formula>RIGHT(J404,LEN("x"))="x"</formula>
    </cfRule>
  </conditionalFormatting>
  <conditionalFormatting sqref="J404">
    <cfRule type="endsWith" dxfId="170" priority="213" operator="endsWith" text="x">
      <formula>RIGHT(J404,LEN("x"))="x"</formula>
    </cfRule>
  </conditionalFormatting>
  <conditionalFormatting sqref="J404">
    <cfRule type="endsWith" dxfId="169" priority="212" operator="endsWith" text="x">
      <formula>RIGHT(J404,LEN("x"))="x"</formula>
    </cfRule>
  </conditionalFormatting>
  <conditionalFormatting sqref="J394">
    <cfRule type="endsWith" dxfId="168" priority="211" operator="endsWith" text="x">
      <formula>RIGHT(J394,LEN("x"))="x"</formula>
    </cfRule>
  </conditionalFormatting>
  <conditionalFormatting sqref="J394">
    <cfRule type="endsWith" dxfId="167" priority="210" operator="endsWith" text="x">
      <formula>RIGHT(J394,LEN("x"))="x"</formula>
    </cfRule>
  </conditionalFormatting>
  <conditionalFormatting sqref="J394">
    <cfRule type="endsWith" dxfId="166" priority="209" operator="endsWith" text="x">
      <formula>RIGHT(J394,LEN("x"))="x"</formula>
    </cfRule>
  </conditionalFormatting>
  <conditionalFormatting sqref="J386">
    <cfRule type="endsWith" dxfId="165" priority="208" operator="endsWith" text="x">
      <formula>RIGHT(J386,LEN("x"))="x"</formula>
    </cfRule>
  </conditionalFormatting>
  <conditionalFormatting sqref="J386">
    <cfRule type="endsWith" dxfId="164" priority="207" operator="endsWith" text="x">
      <formula>RIGHT(J386,LEN("x"))="x"</formula>
    </cfRule>
  </conditionalFormatting>
  <conditionalFormatting sqref="J386">
    <cfRule type="endsWith" dxfId="163" priority="206" operator="endsWith" text="x">
      <formula>RIGHT(J386,LEN("x"))="x"</formula>
    </cfRule>
  </conditionalFormatting>
  <conditionalFormatting sqref="J378">
    <cfRule type="endsWith" dxfId="162" priority="205" operator="endsWith" text="x">
      <formula>RIGHT(J378,LEN("x"))="x"</formula>
    </cfRule>
  </conditionalFormatting>
  <conditionalFormatting sqref="J378">
    <cfRule type="endsWith" dxfId="161" priority="204" operator="endsWith" text="x">
      <formula>RIGHT(J378,LEN("x"))="x"</formula>
    </cfRule>
  </conditionalFormatting>
  <conditionalFormatting sqref="J378">
    <cfRule type="endsWith" dxfId="160" priority="203" operator="endsWith" text="x">
      <formula>RIGHT(J378,LEN("x"))="x"</formula>
    </cfRule>
  </conditionalFormatting>
  <conditionalFormatting sqref="J370">
    <cfRule type="endsWith" dxfId="159" priority="202" operator="endsWith" text="x">
      <formula>RIGHT(J370,LEN("x"))="x"</formula>
    </cfRule>
  </conditionalFormatting>
  <conditionalFormatting sqref="J370">
    <cfRule type="endsWith" dxfId="158" priority="201" operator="endsWith" text="x">
      <formula>RIGHT(J370,LEN("x"))="x"</formula>
    </cfRule>
  </conditionalFormatting>
  <conditionalFormatting sqref="J370">
    <cfRule type="endsWith" dxfId="157" priority="200" operator="endsWith" text="x">
      <formula>RIGHT(J370,LEN("x"))="x"</formula>
    </cfRule>
  </conditionalFormatting>
  <conditionalFormatting sqref="J362">
    <cfRule type="endsWith" dxfId="156" priority="199" operator="endsWith" text="x">
      <formula>RIGHT(J362,LEN("x"))="x"</formula>
    </cfRule>
  </conditionalFormatting>
  <conditionalFormatting sqref="J362">
    <cfRule type="endsWith" dxfId="155" priority="198" operator="endsWith" text="x">
      <formula>RIGHT(J362,LEN("x"))="x"</formula>
    </cfRule>
  </conditionalFormatting>
  <conditionalFormatting sqref="J362">
    <cfRule type="endsWith" dxfId="154" priority="197" operator="endsWith" text="x">
      <formula>RIGHT(J362,LEN("x"))="x"</formula>
    </cfRule>
  </conditionalFormatting>
  <conditionalFormatting sqref="H228">
    <cfRule type="endsWith" dxfId="153" priority="107" operator="endsWith" text="x">
      <formula>RIGHT(H228,LEN("x"))="x"</formula>
    </cfRule>
  </conditionalFormatting>
  <conditionalFormatting sqref="H206">
    <cfRule type="endsWith" dxfId="152" priority="106" operator="endsWith" text="x">
      <formula>RIGHT(H206,LEN("x"))="x"</formula>
    </cfRule>
  </conditionalFormatting>
  <conditionalFormatting sqref="H206">
    <cfRule type="endsWith" dxfId="151" priority="105" operator="endsWith" text="x">
      <formula>RIGHT(H206,LEN("x"))="x"</formula>
    </cfRule>
  </conditionalFormatting>
  <conditionalFormatting sqref="J346 J354">
    <cfRule type="endsWith" dxfId="150" priority="193" operator="endsWith" text="x">
      <formula>RIGHT(J346,LEN("x"))="x"</formula>
    </cfRule>
  </conditionalFormatting>
  <conditionalFormatting sqref="J346 J354">
    <cfRule type="endsWith" dxfId="149" priority="192" operator="endsWith" text="x">
      <formula>RIGHT(J346,LEN("x"))="x"</formula>
    </cfRule>
  </conditionalFormatting>
  <conditionalFormatting sqref="J346 J354">
    <cfRule type="endsWith" dxfId="148" priority="191" operator="endsWith" text="x">
      <formula>RIGHT(J346,LEN("x"))="x"</formula>
    </cfRule>
  </conditionalFormatting>
  <conditionalFormatting sqref="J338">
    <cfRule type="endsWith" dxfId="147" priority="190" operator="endsWith" text="x">
      <formula>RIGHT(J338,LEN("x"))="x"</formula>
    </cfRule>
  </conditionalFormatting>
  <conditionalFormatting sqref="J338">
    <cfRule type="endsWith" dxfId="146" priority="189" operator="endsWith" text="x">
      <formula>RIGHT(J338,LEN("x"))="x"</formula>
    </cfRule>
  </conditionalFormatting>
  <conditionalFormatting sqref="J338">
    <cfRule type="endsWith" dxfId="145" priority="188" operator="endsWith" text="x">
      <formula>RIGHT(J338,LEN("x"))="x"</formula>
    </cfRule>
  </conditionalFormatting>
  <conditionalFormatting sqref="J330">
    <cfRule type="endsWith" dxfId="144" priority="187" operator="endsWith" text="x">
      <formula>RIGHT(J330,LEN("x"))="x"</formula>
    </cfRule>
  </conditionalFormatting>
  <conditionalFormatting sqref="J330">
    <cfRule type="endsWith" dxfId="143" priority="186" operator="endsWith" text="x">
      <formula>RIGHT(J330,LEN("x"))="x"</formula>
    </cfRule>
  </conditionalFormatting>
  <conditionalFormatting sqref="J330">
    <cfRule type="endsWith" dxfId="142" priority="185" operator="endsWith" text="x">
      <formula>RIGHT(J330,LEN("x"))="x"</formula>
    </cfRule>
  </conditionalFormatting>
  <conditionalFormatting sqref="J322">
    <cfRule type="endsWith" dxfId="141" priority="184" operator="endsWith" text="x">
      <formula>RIGHT(J322,LEN("x"))="x"</formula>
    </cfRule>
  </conditionalFormatting>
  <conditionalFormatting sqref="J322">
    <cfRule type="endsWith" dxfId="140" priority="183" operator="endsWith" text="x">
      <formula>RIGHT(J322,LEN("x"))="x"</formula>
    </cfRule>
  </conditionalFormatting>
  <conditionalFormatting sqref="J322">
    <cfRule type="endsWith" dxfId="139" priority="182" operator="endsWith" text="x">
      <formula>RIGHT(J322,LEN("x"))="x"</formula>
    </cfRule>
  </conditionalFormatting>
  <conditionalFormatting sqref="J314">
    <cfRule type="endsWith" dxfId="138" priority="181" operator="endsWith" text="x">
      <formula>RIGHT(J314,LEN("x"))="x"</formula>
    </cfRule>
  </conditionalFormatting>
  <conditionalFormatting sqref="J314">
    <cfRule type="endsWith" dxfId="137" priority="180" operator="endsWith" text="x">
      <formula>RIGHT(J314,LEN("x"))="x"</formula>
    </cfRule>
  </conditionalFormatting>
  <conditionalFormatting sqref="J314">
    <cfRule type="endsWith" dxfId="136" priority="179" operator="endsWith" text="x">
      <formula>RIGHT(J314,LEN("x"))="x"</formula>
    </cfRule>
  </conditionalFormatting>
  <conditionalFormatting sqref="J306">
    <cfRule type="endsWith" dxfId="135" priority="178" operator="endsWith" text="x">
      <formula>RIGHT(J306,LEN("x"))="x"</formula>
    </cfRule>
  </conditionalFormatting>
  <conditionalFormatting sqref="J306">
    <cfRule type="endsWith" dxfId="134" priority="177" operator="endsWith" text="x">
      <formula>RIGHT(J306,LEN("x"))="x"</formula>
    </cfRule>
  </conditionalFormatting>
  <conditionalFormatting sqref="J306">
    <cfRule type="endsWith" dxfId="133" priority="176" operator="endsWith" text="x">
      <formula>RIGHT(J306,LEN("x"))="x"</formula>
    </cfRule>
  </conditionalFormatting>
  <conditionalFormatting sqref="J298">
    <cfRule type="endsWith" dxfId="132" priority="175" operator="endsWith" text="x">
      <formula>RIGHT(J298,LEN("x"))="x"</formula>
    </cfRule>
  </conditionalFormatting>
  <conditionalFormatting sqref="J298">
    <cfRule type="endsWith" dxfId="131" priority="174" operator="endsWith" text="x">
      <formula>RIGHT(J298,LEN("x"))="x"</formula>
    </cfRule>
  </conditionalFormatting>
  <conditionalFormatting sqref="J298">
    <cfRule type="endsWith" dxfId="130" priority="173" operator="endsWith" text="x">
      <formula>RIGHT(J298,LEN("x"))="x"</formula>
    </cfRule>
  </conditionalFormatting>
  <conditionalFormatting sqref="J284">
    <cfRule type="endsWith" dxfId="129" priority="172" operator="endsWith" text="x">
      <formula>RIGHT(J284,LEN("x"))="x"</formula>
    </cfRule>
  </conditionalFormatting>
  <conditionalFormatting sqref="J284">
    <cfRule type="endsWith" dxfId="128" priority="171" operator="endsWith" text="x">
      <formula>RIGHT(J284,LEN("x"))="x"</formula>
    </cfRule>
  </conditionalFormatting>
  <conditionalFormatting sqref="J284">
    <cfRule type="endsWith" dxfId="127" priority="170" operator="endsWith" text="x">
      <formula>RIGHT(J284,LEN("x"))="x"</formula>
    </cfRule>
  </conditionalFormatting>
  <conditionalFormatting sqref="J276">
    <cfRule type="endsWith" dxfId="126" priority="169" operator="endsWith" text="x">
      <formula>RIGHT(J276,LEN("x"))="x"</formula>
    </cfRule>
  </conditionalFormatting>
  <conditionalFormatting sqref="J276">
    <cfRule type="endsWith" dxfId="125" priority="168" operator="endsWith" text="x">
      <formula>RIGHT(J276,LEN("x"))="x"</formula>
    </cfRule>
  </conditionalFormatting>
  <conditionalFormatting sqref="J276">
    <cfRule type="endsWith" dxfId="124" priority="167" operator="endsWith" text="x">
      <formula>RIGHT(J276,LEN("x"))="x"</formula>
    </cfRule>
  </conditionalFormatting>
  <conditionalFormatting sqref="J268">
    <cfRule type="endsWith" dxfId="123" priority="166" operator="endsWith" text="x">
      <formula>RIGHT(J268,LEN("x"))="x"</formula>
    </cfRule>
  </conditionalFormatting>
  <conditionalFormatting sqref="J268">
    <cfRule type="endsWith" dxfId="122" priority="165" operator="endsWith" text="x">
      <formula>RIGHT(J268,LEN("x"))="x"</formula>
    </cfRule>
  </conditionalFormatting>
  <conditionalFormatting sqref="J268">
    <cfRule type="endsWith" dxfId="121" priority="164" operator="endsWith" text="x">
      <formula>RIGHT(J268,LEN("x"))="x"</formula>
    </cfRule>
  </conditionalFormatting>
  <conditionalFormatting sqref="J254">
    <cfRule type="endsWith" dxfId="120" priority="163" operator="endsWith" text="x">
      <formula>RIGHT(J254,LEN("x"))="x"</formula>
    </cfRule>
  </conditionalFormatting>
  <conditionalFormatting sqref="J254">
    <cfRule type="endsWith" dxfId="119" priority="162" operator="endsWith" text="x">
      <formula>RIGHT(J254,LEN("x"))="x"</formula>
    </cfRule>
  </conditionalFormatting>
  <conditionalFormatting sqref="J254">
    <cfRule type="endsWith" dxfId="118" priority="161" operator="endsWith" text="x">
      <formula>RIGHT(J254,LEN("x"))="x"</formula>
    </cfRule>
  </conditionalFormatting>
  <conditionalFormatting sqref="J240">
    <cfRule type="endsWith" dxfId="117" priority="160" operator="endsWith" text="x">
      <formula>RIGHT(J240,LEN("x"))="x"</formula>
    </cfRule>
  </conditionalFormatting>
  <conditionalFormatting sqref="J240">
    <cfRule type="endsWith" dxfId="116" priority="159" operator="endsWith" text="x">
      <formula>RIGHT(J240,LEN("x"))="x"</formula>
    </cfRule>
  </conditionalFormatting>
  <conditionalFormatting sqref="J240">
    <cfRule type="endsWith" dxfId="115" priority="158" operator="endsWith" text="x">
      <formula>RIGHT(J240,LEN("x"))="x"</formula>
    </cfRule>
  </conditionalFormatting>
  <conditionalFormatting sqref="J226">
    <cfRule type="endsWith" dxfId="114" priority="157" operator="endsWith" text="x">
      <formula>RIGHT(J226,LEN("x"))="x"</formula>
    </cfRule>
  </conditionalFormatting>
  <conditionalFormatting sqref="J226">
    <cfRule type="endsWith" dxfId="113" priority="156" operator="endsWith" text="x">
      <formula>RIGHT(J226,LEN("x"))="x"</formula>
    </cfRule>
  </conditionalFormatting>
  <conditionalFormatting sqref="J226">
    <cfRule type="endsWith" dxfId="112" priority="155" operator="endsWith" text="x">
      <formula>RIGHT(J226,LEN("x"))="x"</formula>
    </cfRule>
  </conditionalFormatting>
  <conditionalFormatting sqref="J218">
    <cfRule type="endsWith" dxfId="111" priority="154" operator="endsWith" text="x">
      <formula>RIGHT(J218,LEN("x"))="x"</formula>
    </cfRule>
  </conditionalFormatting>
  <conditionalFormatting sqref="J218">
    <cfRule type="endsWith" dxfId="110" priority="153" operator="endsWith" text="x">
      <formula>RIGHT(J218,LEN("x"))="x"</formula>
    </cfRule>
  </conditionalFormatting>
  <conditionalFormatting sqref="J218">
    <cfRule type="endsWith" dxfId="109" priority="152" operator="endsWith" text="x">
      <formula>RIGHT(J218,LEN("x"))="x"</formula>
    </cfRule>
  </conditionalFormatting>
  <conditionalFormatting sqref="J204">
    <cfRule type="endsWith" dxfId="108" priority="151" operator="endsWith" text="x">
      <formula>RIGHT(J204,LEN("x"))="x"</formula>
    </cfRule>
  </conditionalFormatting>
  <conditionalFormatting sqref="J204">
    <cfRule type="endsWith" dxfId="107" priority="150" operator="endsWith" text="x">
      <formula>RIGHT(J204,LEN("x"))="x"</formula>
    </cfRule>
  </conditionalFormatting>
  <conditionalFormatting sqref="J204">
    <cfRule type="endsWith" dxfId="106" priority="149" operator="endsWith" text="x">
      <formula>RIGHT(J204,LEN("x"))="x"</formula>
    </cfRule>
  </conditionalFormatting>
  <conditionalFormatting sqref="H813">
    <cfRule type="endsWith" dxfId="105" priority="148" operator="endsWith" text="x">
      <formula>RIGHT(H813,LEN("x"))="x"</formula>
    </cfRule>
  </conditionalFormatting>
  <conditionalFormatting sqref="H813">
    <cfRule type="endsWith" dxfId="104" priority="147" operator="endsWith" text="x">
      <formula>RIGHT(H813,LEN("x"))="x"</formula>
    </cfRule>
  </conditionalFormatting>
  <conditionalFormatting sqref="H800">
    <cfRule type="endsWith" dxfId="103" priority="146" operator="endsWith" text="x">
      <formula>RIGHT(H800,LEN("x"))="x"</formula>
    </cfRule>
  </conditionalFormatting>
  <conditionalFormatting sqref="H800">
    <cfRule type="endsWith" dxfId="102" priority="145" operator="endsWith" text="x">
      <formula>RIGHT(H800,LEN("x"))="x"</formula>
    </cfRule>
  </conditionalFormatting>
  <conditionalFormatting sqref="H787">
    <cfRule type="endsWith" dxfId="101" priority="144" operator="endsWith" text="x">
      <formula>RIGHT(H787,LEN("x"))="x"</formula>
    </cfRule>
  </conditionalFormatting>
  <conditionalFormatting sqref="H787">
    <cfRule type="endsWith" dxfId="100" priority="143" operator="endsWith" text="x">
      <formula>RIGHT(H787,LEN("x"))="x"</formula>
    </cfRule>
  </conditionalFormatting>
  <conditionalFormatting sqref="H774">
    <cfRule type="endsWith" dxfId="99" priority="142" operator="endsWith" text="x">
      <formula>RIGHT(H774,LEN("x"))="x"</formula>
    </cfRule>
  </conditionalFormatting>
  <conditionalFormatting sqref="H774">
    <cfRule type="endsWith" dxfId="98" priority="141" operator="endsWith" text="x">
      <formula>RIGHT(H774,LEN("x"))="x"</formula>
    </cfRule>
  </conditionalFormatting>
  <conditionalFormatting sqref="H761">
    <cfRule type="endsWith" dxfId="97" priority="140" operator="endsWith" text="x">
      <formula>RIGHT(H761,LEN("x"))="x"</formula>
    </cfRule>
  </conditionalFormatting>
  <conditionalFormatting sqref="H761">
    <cfRule type="endsWith" dxfId="96" priority="139" operator="endsWith" text="x">
      <formula>RIGHT(H761,LEN("x"))="x"</formula>
    </cfRule>
  </conditionalFormatting>
  <conditionalFormatting sqref="H748">
    <cfRule type="endsWith" dxfId="95" priority="138" operator="endsWith" text="x">
      <formula>RIGHT(H748,LEN("x"))="x"</formula>
    </cfRule>
  </conditionalFormatting>
  <conditionalFormatting sqref="H748">
    <cfRule type="endsWith" dxfId="94" priority="137" operator="endsWith" text="x">
      <formula>RIGHT(H748,LEN("x"))="x"</formula>
    </cfRule>
  </conditionalFormatting>
  <conditionalFormatting sqref="H735">
    <cfRule type="endsWith" dxfId="93" priority="136" operator="endsWith" text="x">
      <formula>RIGHT(H735,LEN("x"))="x"</formula>
    </cfRule>
  </conditionalFormatting>
  <conditionalFormatting sqref="H735">
    <cfRule type="endsWith" dxfId="92" priority="135" operator="endsWith" text="x">
      <formula>RIGHT(H735,LEN("x"))="x"</formula>
    </cfRule>
  </conditionalFormatting>
  <conditionalFormatting sqref="H722">
    <cfRule type="endsWith" dxfId="91" priority="134" operator="endsWith" text="x">
      <formula>RIGHT(H722,LEN("x"))="x"</formula>
    </cfRule>
  </conditionalFormatting>
  <conditionalFormatting sqref="H722">
    <cfRule type="endsWith" dxfId="90" priority="133" operator="endsWith" text="x">
      <formula>RIGHT(H722,LEN("x"))="x"</formula>
    </cfRule>
  </conditionalFormatting>
  <conditionalFormatting sqref="H709">
    <cfRule type="endsWith" dxfId="89" priority="132" operator="endsWith" text="x">
      <formula>RIGHT(H709,LEN("x"))="x"</formula>
    </cfRule>
  </conditionalFormatting>
  <conditionalFormatting sqref="H709">
    <cfRule type="endsWith" dxfId="88" priority="131" operator="endsWith" text="x">
      <formula>RIGHT(H709,LEN("x"))="x"</formula>
    </cfRule>
  </conditionalFormatting>
  <conditionalFormatting sqref="H696">
    <cfRule type="endsWith" dxfId="87" priority="130" operator="endsWith" text="x">
      <formula>RIGHT(H696,LEN("x"))="x"</formula>
    </cfRule>
  </conditionalFormatting>
  <conditionalFormatting sqref="H696">
    <cfRule type="endsWith" dxfId="86" priority="129" operator="endsWith" text="x">
      <formula>RIGHT(H696,LEN("x"))="x"</formula>
    </cfRule>
  </conditionalFormatting>
  <conditionalFormatting sqref="H686">
    <cfRule type="endsWith" dxfId="85" priority="128" operator="endsWith" text="x">
      <formula>RIGHT(H686,LEN("x"))="x"</formula>
    </cfRule>
  </conditionalFormatting>
  <conditionalFormatting sqref="H686">
    <cfRule type="endsWith" dxfId="84" priority="127" operator="endsWith" text="x">
      <formula>RIGHT(H686,LEN("x"))="x"</formula>
    </cfRule>
  </conditionalFormatting>
  <conditionalFormatting sqref="H678">
    <cfRule type="endsWith" dxfId="83" priority="126" operator="endsWith" text="x">
      <formula>RIGHT(H678,LEN("x"))="x"</formula>
    </cfRule>
  </conditionalFormatting>
  <conditionalFormatting sqref="H678">
    <cfRule type="endsWith" dxfId="82" priority="125" operator="endsWith" text="x">
      <formula>RIGHT(H678,LEN("x"))="x"</formula>
    </cfRule>
  </conditionalFormatting>
  <conditionalFormatting sqref="H670">
    <cfRule type="endsWith" dxfId="81" priority="124" operator="endsWith" text="x">
      <formula>RIGHT(H670,LEN("x"))="x"</formula>
    </cfRule>
  </conditionalFormatting>
  <conditionalFormatting sqref="H670">
    <cfRule type="endsWith" dxfId="80" priority="123" operator="endsWith" text="x">
      <formula>RIGHT(H670,LEN("x"))="x"</formula>
    </cfRule>
  </conditionalFormatting>
  <conditionalFormatting sqref="H662">
    <cfRule type="endsWith" dxfId="79" priority="122" operator="endsWith" text="x">
      <formula>RIGHT(H662,LEN("x"))="x"</formula>
    </cfRule>
  </conditionalFormatting>
  <conditionalFormatting sqref="H662">
    <cfRule type="endsWith" dxfId="78" priority="121" operator="endsWith" text="x">
      <formula>RIGHT(H662,LEN("x"))="x"</formula>
    </cfRule>
  </conditionalFormatting>
  <conditionalFormatting sqref="H654">
    <cfRule type="endsWith" dxfId="77" priority="120" operator="endsWith" text="x">
      <formula>RIGHT(H654,LEN("x"))="x"</formula>
    </cfRule>
  </conditionalFormatting>
  <conditionalFormatting sqref="H654">
    <cfRule type="endsWith" dxfId="76" priority="119" operator="endsWith" text="x">
      <formula>RIGHT(H654,LEN("x"))="x"</formula>
    </cfRule>
  </conditionalFormatting>
  <conditionalFormatting sqref="H502">
    <cfRule type="endsWith" dxfId="75" priority="118" operator="endsWith" text="x">
      <formula>RIGHT(H502,LEN("x"))="x"</formula>
    </cfRule>
  </conditionalFormatting>
  <conditionalFormatting sqref="H502">
    <cfRule type="endsWith" dxfId="74" priority="117" operator="endsWith" text="x">
      <formula>RIGHT(H502,LEN("x"))="x"</formula>
    </cfRule>
  </conditionalFormatting>
  <conditionalFormatting sqref="H478">
    <cfRule type="endsWith" dxfId="73" priority="116" operator="endsWith" text="x">
      <formula>RIGHT(H478,LEN("x"))="x"</formula>
    </cfRule>
  </conditionalFormatting>
  <conditionalFormatting sqref="H478">
    <cfRule type="endsWith" dxfId="72" priority="115" operator="endsWith" text="x">
      <formula>RIGHT(H478,LEN("x"))="x"</formula>
    </cfRule>
  </conditionalFormatting>
  <conditionalFormatting sqref="H286">
    <cfRule type="endsWith" dxfId="71" priority="114" operator="endsWith" text="x">
      <formula>RIGHT(H286,LEN("x"))="x"</formula>
    </cfRule>
  </conditionalFormatting>
  <conditionalFormatting sqref="H286">
    <cfRule type="endsWith" dxfId="70" priority="113" operator="endsWith" text="x">
      <formula>RIGHT(H286,LEN("x"))="x"</formula>
    </cfRule>
  </conditionalFormatting>
  <conditionalFormatting sqref="H256">
    <cfRule type="endsWith" dxfId="69" priority="112" operator="endsWith" text="x">
      <formula>RIGHT(H256,LEN("x"))="x"</formula>
    </cfRule>
  </conditionalFormatting>
  <conditionalFormatting sqref="H256">
    <cfRule type="endsWith" dxfId="68" priority="111" operator="endsWith" text="x">
      <formula>RIGHT(H256,LEN("x"))="x"</formula>
    </cfRule>
  </conditionalFormatting>
  <conditionalFormatting sqref="H242">
    <cfRule type="endsWith" dxfId="67" priority="110" operator="endsWith" text="x">
      <formula>RIGHT(H242,LEN("x"))="x"</formula>
    </cfRule>
  </conditionalFormatting>
  <conditionalFormatting sqref="H242">
    <cfRule type="endsWith" dxfId="66" priority="109" operator="endsWith" text="x">
      <formula>RIGHT(H242,LEN("x"))="x"</formula>
    </cfRule>
  </conditionalFormatting>
  <conditionalFormatting sqref="H228">
    <cfRule type="endsWith" dxfId="65" priority="108" operator="endsWith" text="x">
      <formula>RIGHT(H228,LEN("x"))="x"</formula>
    </cfRule>
  </conditionalFormatting>
  <conditionalFormatting sqref="A41:K46">
    <cfRule type="endsWith" dxfId="64" priority="60" operator="endsWith" text="x">
      <formula>RIGHT(A41,LEN("x"))="x"</formula>
    </cfRule>
  </conditionalFormatting>
  <conditionalFormatting sqref="A41:K46">
    <cfRule type="endsWith" dxfId="63" priority="59" operator="endsWith" text="x">
      <formula>RIGHT(A41,LEN("x"))="x"</formula>
    </cfRule>
  </conditionalFormatting>
  <conditionalFormatting sqref="A41:K46">
    <cfRule type="endsWith" dxfId="62" priority="58" operator="endsWith" text="x">
      <formula>RIGHT(A41,LEN("x"))="x"</formula>
    </cfRule>
  </conditionalFormatting>
  <conditionalFormatting sqref="M118">
    <cfRule type="cellIs" dxfId="61" priority="57" operator="greaterThan">
      <formula>0</formula>
    </cfRule>
  </conditionalFormatting>
  <conditionalFormatting sqref="M118">
    <cfRule type="cellIs" dxfId="60" priority="56" operator="greaterThan">
      <formula>0</formula>
    </cfRule>
  </conditionalFormatting>
  <conditionalFormatting sqref="M117">
    <cfRule type="endsWith" dxfId="59" priority="55" operator="endsWith" text="x">
      <formula>RIGHT(M117,LEN("x"))="x"</formula>
    </cfRule>
  </conditionalFormatting>
  <conditionalFormatting sqref="G40">
    <cfRule type="endsWith" dxfId="58" priority="54" operator="endsWith" text="x">
      <formula>RIGHT(G40,LEN("x"))="x"</formula>
    </cfRule>
  </conditionalFormatting>
  <conditionalFormatting sqref="G39">
    <cfRule type="endsWith" dxfId="57" priority="53" operator="endsWith" text="x">
      <formula>RIGHT(G39,LEN("x"))="x"</formula>
    </cfRule>
  </conditionalFormatting>
  <conditionalFormatting sqref="A39:A40">
    <cfRule type="endsWith" dxfId="56" priority="52" operator="endsWith" text="x">
      <formula>RIGHT(A39,LEN("x"))="x"</formula>
    </cfRule>
  </conditionalFormatting>
  <conditionalFormatting sqref="J40">
    <cfRule type="endsWith" dxfId="55" priority="49" operator="endsWith" text="x">
      <formula>RIGHT(J40,LEN("x"))="x"</formula>
    </cfRule>
  </conditionalFormatting>
  <conditionalFormatting sqref="H40">
    <cfRule type="endsWith" dxfId="54" priority="51" operator="endsWith" text="x">
      <formula>RIGHT(H40,LEN("x"))="x"</formula>
    </cfRule>
  </conditionalFormatting>
  <conditionalFormatting sqref="I40">
    <cfRule type="endsWith" dxfId="53" priority="50" operator="endsWith" text="x">
      <formula>RIGHT(I40,LEN("x"))="x"</formula>
    </cfRule>
  </conditionalFormatting>
  <conditionalFormatting sqref="K40">
    <cfRule type="endsWith" dxfId="52" priority="48" operator="endsWith" text="x">
      <formula>RIGHT(K40,LEN("x"))="x"</formula>
    </cfRule>
  </conditionalFormatting>
  <conditionalFormatting sqref="H38">
    <cfRule type="endsWith" dxfId="51" priority="47" operator="endsWith" text="x">
      <formula>RIGHT(H38,LEN("x"))="x"</formula>
    </cfRule>
  </conditionalFormatting>
  <conditionalFormatting sqref="H38">
    <cfRule type="cellIs" dxfId="50" priority="46" operator="greaterThan">
      <formula>0</formula>
    </cfRule>
  </conditionalFormatting>
  <conditionalFormatting sqref="I38">
    <cfRule type="endsWith" dxfId="49" priority="45" operator="endsWith" text="x">
      <formula>RIGHT(I38,LEN("x"))="x"</formula>
    </cfRule>
  </conditionalFormatting>
  <conditionalFormatting sqref="I38">
    <cfRule type="cellIs" dxfId="48" priority="44" operator="greaterThan">
      <formula>0</formula>
    </cfRule>
  </conditionalFormatting>
  <conditionalFormatting sqref="J38">
    <cfRule type="endsWith" dxfId="47" priority="43" operator="endsWith" text="x">
      <formula>RIGHT(J38,LEN("x"))="x"</formula>
    </cfRule>
  </conditionalFormatting>
  <conditionalFormatting sqref="J38">
    <cfRule type="cellIs" dxfId="46" priority="42" operator="greaterThan">
      <formula>0</formula>
    </cfRule>
  </conditionalFormatting>
  <conditionalFormatting sqref="B40">
    <cfRule type="endsWith" dxfId="45" priority="41" operator="endsWith" text="x">
      <formula>RIGHT(B40,LEN("x"))="x"</formula>
    </cfRule>
  </conditionalFormatting>
  <conditionalFormatting sqref="B40">
    <cfRule type="cellIs" dxfId="44" priority="40" operator="greaterThan">
      <formula>0</formula>
    </cfRule>
  </conditionalFormatting>
  <conditionalFormatting sqref="B39">
    <cfRule type="endsWith" dxfId="43" priority="39" operator="endsWith" text="x">
      <formula>RIGHT(B39,LEN("x"))="x"</formula>
    </cfRule>
  </conditionalFormatting>
  <conditionalFormatting sqref="H39">
    <cfRule type="endsWith" dxfId="42" priority="38" operator="endsWith" text="x">
      <formula>RIGHT(H39,LEN("x"))="x"</formula>
    </cfRule>
  </conditionalFormatting>
  <conditionalFormatting sqref="H39">
    <cfRule type="endsWith" dxfId="41" priority="37" operator="endsWith" text="x">
      <formula>RIGHT(H39,LEN("x"))="x"</formula>
    </cfRule>
  </conditionalFormatting>
  <conditionalFormatting sqref="H39">
    <cfRule type="endsWith" dxfId="40" priority="36" operator="endsWith" text="x">
      <formula>RIGHT(H39,LEN("x"))="x"</formula>
    </cfRule>
  </conditionalFormatting>
  <conditionalFormatting sqref="J39">
    <cfRule type="endsWith" dxfId="39" priority="35" operator="endsWith" text="x">
      <formula>RIGHT(J39,LEN("x"))="x"</formula>
    </cfRule>
  </conditionalFormatting>
  <conditionalFormatting sqref="J39">
    <cfRule type="endsWith" dxfId="38" priority="34" operator="endsWith" text="x">
      <formula>RIGHT(J39,LEN("x"))="x"</formula>
    </cfRule>
  </conditionalFormatting>
  <conditionalFormatting sqref="J39">
    <cfRule type="endsWith" dxfId="37" priority="33" operator="endsWith" text="x">
      <formula>RIGHT(J39,LEN("x"))="x"</formula>
    </cfRule>
  </conditionalFormatting>
  <conditionalFormatting sqref="B429">
    <cfRule type="endsWith" dxfId="19" priority="20" operator="endsWith" text="x">
      <formula>RIGHT(B429,LEN("x"))="x"</formula>
    </cfRule>
  </conditionalFormatting>
  <conditionalFormatting sqref="B435">
    <cfRule type="endsWith" dxfId="18" priority="19" operator="endsWith" text="x">
      <formula>RIGHT(B435,LEN("x"))="x"</formula>
    </cfRule>
  </conditionalFormatting>
  <conditionalFormatting sqref="B441">
    <cfRule type="endsWith" dxfId="17" priority="18" operator="endsWith" text="x">
      <formula>RIGHT(B441,LEN("x"))="x"</formula>
    </cfRule>
  </conditionalFormatting>
  <conditionalFormatting sqref="B447">
    <cfRule type="endsWith" dxfId="15" priority="16" operator="endsWith" text="x">
      <formula>RIGHT(B447,LEN("x"))="x"</formula>
    </cfRule>
  </conditionalFormatting>
  <conditionalFormatting sqref="B453">
    <cfRule type="endsWith" dxfId="14" priority="15" operator="endsWith" text="x">
      <formula>RIGHT(B453,LEN("x"))="x"</formula>
    </cfRule>
  </conditionalFormatting>
  <conditionalFormatting sqref="B459">
    <cfRule type="endsWith" dxfId="13" priority="14" operator="endsWith" text="x">
      <formula>RIGHT(B459,LEN("x"))="x"</formula>
    </cfRule>
  </conditionalFormatting>
  <conditionalFormatting sqref="B465">
    <cfRule type="endsWith" dxfId="12" priority="13" operator="endsWith" text="x">
      <formula>RIGHT(B465,LEN("x"))="x"</formula>
    </cfRule>
  </conditionalFormatting>
  <conditionalFormatting sqref="B471">
    <cfRule type="endsWith" dxfId="11" priority="12" operator="endsWith" text="x">
      <formula>RIGHT(B471,LEN("x"))="x"</formula>
    </cfRule>
  </conditionalFormatting>
  <conditionalFormatting sqref="B477">
    <cfRule type="endsWith" dxfId="10" priority="11" operator="endsWith" text="x">
      <formula>RIGHT(B477,LEN("x"))="x"</formula>
    </cfRule>
  </conditionalFormatting>
  <conditionalFormatting sqref="B489">
    <cfRule type="endsWith" dxfId="9" priority="10" operator="endsWith" text="x">
      <formula>RIGHT(B489,LEN("x"))="x"</formula>
    </cfRule>
  </conditionalFormatting>
  <conditionalFormatting sqref="B495">
    <cfRule type="endsWith" dxfId="8" priority="9" operator="endsWith" text="x">
      <formula>RIGHT(B495,LEN("x"))="x"</formula>
    </cfRule>
  </conditionalFormatting>
  <conditionalFormatting sqref="B501">
    <cfRule type="endsWith" dxfId="7" priority="8" operator="endsWith" text="x">
      <formula>RIGHT(B501,LEN("x"))="x"</formula>
    </cfRule>
  </conditionalFormatting>
  <conditionalFormatting sqref="B569">
    <cfRule type="endsWith" dxfId="6" priority="7" operator="endsWith" text="x">
      <formula>RIGHT(B569,LEN("x"))="x"</formula>
    </cfRule>
  </conditionalFormatting>
  <conditionalFormatting sqref="B575">
    <cfRule type="endsWith" dxfId="5" priority="6" operator="endsWith" text="x">
      <formula>RIGHT(B575,LEN("x"))="x"</formula>
    </cfRule>
  </conditionalFormatting>
  <conditionalFormatting sqref="B581">
    <cfRule type="endsWith" dxfId="4" priority="5" operator="endsWith" text="x">
      <formula>RIGHT(B581,LEN("x"))="x"</formula>
    </cfRule>
  </conditionalFormatting>
  <conditionalFormatting sqref="B587">
    <cfRule type="endsWith" dxfId="3" priority="4" operator="endsWith" text="x">
      <formula>RIGHT(B587,LEN("x"))="x"</formula>
    </cfRule>
  </conditionalFormatting>
  <conditionalFormatting sqref="B593">
    <cfRule type="endsWith" dxfId="2" priority="3" operator="endsWith" text="x">
      <formula>RIGHT(B593,LEN("x"))="x"</formula>
    </cfRule>
  </conditionalFormatting>
  <conditionalFormatting sqref="B599">
    <cfRule type="endsWith" dxfId="1" priority="2" operator="endsWith" text="x">
      <formula>RIGHT(B599,LEN("x"))="x"</formula>
    </cfRule>
  </conditionalFormatting>
  <conditionalFormatting sqref="B645">
    <cfRule type="endsWith" dxfId="0" priority="1" operator="endsWith" text="x">
      <formula>RIGHT(B645,LEN("x"))="x"</formula>
    </cfRule>
  </conditionalFormatting>
  <hyperlinks>
    <hyperlink ref="A2" r:id="rId1" location="Hahmotaso" xr:uid="{18F94129-9B1E-654F-8BBB-07F5F723F39D}"/>
    <hyperlink ref="A3" r:id="rId2" location="Perushy%C3%B6kk%C3%A4yshyvitys" xr:uid="{EB014991-F503-F740-8155-54805DE0D039}"/>
    <hyperlink ref="A4" r:id="rId3" location="Langettajataso" xr:uid="{E69B8547-3773-BD4C-B3DD-92FE1A4675AF}"/>
    <hyperlink ref="A5" r:id="rId4" xr:uid="{7D5DFFDB-433C-C347-80DC-0717C557D2F8}"/>
    <hyperlink ref="A6" r:id="rId5" location="Paini" xr:uid="{C965DF6E-7BED-E048-A479-E797F88FBA11}"/>
    <hyperlink ref="A7" r:id="rId6" location="taulukko_Olentojen_kokoluokat_ja_mitat" xr:uid="{65930624-C37C-984F-988F-7215E3926EB5}"/>
    <hyperlink ref="A8" r:id="rId7" location="Uhatut_ruudut" xr:uid="{1DFD65FD-3CD3-BF41-ACB5-4B0A70B2618F}"/>
    <hyperlink ref="A9" r:id="rId8" xr:uid="{8FC1170B-5E0E-8F41-9131-8446A99B0900}"/>
    <hyperlink ref="A10" r:id="rId9" location="Energianriisto_ja_negatiiviset_tasot" xr:uid="{0E6E514F-E304-FA48-AE1C-34372AA1C82A}"/>
    <hyperlink ref="E2" r:id="rId10" location="Voimakkuus_(Vma)" xr:uid="{C57F8FD7-D2AD-FF4B-A62C-5E11971E2CBA}"/>
    <hyperlink ref="E3" r:id="rId11" location="Ketteryys_(Ket)" xr:uid="{F9870EB1-E44A-704A-8C48-E323A95067F7}"/>
    <hyperlink ref="E4" r:id="rId12" location="Ruumiinkunto_(Ruk)" xr:uid="{D3B37331-B37B-5F4F-99BA-8B9C3FDCBE82}"/>
    <hyperlink ref="E5" r:id="rId13" location="%C3%84lykkyys_(%C3%84ly)" xr:uid="{DCC4BA90-348F-2C45-8181-460491BA3DDD}"/>
    <hyperlink ref="E6" r:id="rId14" location="Viisaus_(Vii)" xr:uid="{C4E7CE63-301C-2342-8778-93E39FADAAEC}"/>
    <hyperlink ref="E7" r:id="rId15" location="Karisma_(Kar)" xr:uid="{19DE6D0D-753E-D440-AEE1-09600405D870}"/>
    <hyperlink ref="A14" r:id="rId16" location="Panssariluokka" xr:uid="{BE462AAE-0902-5C4F-B850-8ABE21A1795A}"/>
    <hyperlink ref="A16" r:id="rId17" location="Kosketushy%C3%B6kk%C3%A4ykset" xr:uid="{DF9847B5-A54D-614E-87B3-E03FD3BB8580}"/>
    <hyperlink ref="A15" r:id="rId18" location="Valmistautumaton" xr:uid="{FBBAE3F8-5FA3-2D40-8E23-E501DF5A745C}"/>
    <hyperlink ref="D13" r:id="rId19" location="N%C3%A4k%C3%B6suoja_ja_ohihy%C3%B6kk%C3%A4ysmahdollisuus" xr:uid="{61DD29F6-678F-6B42-B0F8-8F6AB5BCE2DB}"/>
    <hyperlink ref="G14" r:id="rId20" location="Haarniskahyvitys" xr:uid="{687D5689-C5B4-4147-BE8F-70BDE3435140}"/>
    <hyperlink ref="G15" r:id="rId21" location="Kilpihyvitys" xr:uid="{615BA6EB-25C8-6F4B-8409-395B9F21C5D2}"/>
    <hyperlink ref="G16" r:id="rId22" location="Kokomuunnin" xr:uid="{76DBCA79-0C62-BA4D-B89C-E2E3E7AC5376}"/>
    <hyperlink ref="G17" r:id="rId23" location="Kehopanssarihyvitys" xr:uid="{9B956B0D-3374-FA4A-B01E-E21079B93FFA}"/>
    <hyperlink ref="G18" r:id="rId24" location="Sivuunohjaushyvitys" xr:uid="{D7CDABF8-296D-0B48-8828-AF3124E96F21}"/>
    <hyperlink ref="G19" r:id="rId25" location="V%C3%A4istelyhyvitys" xr:uid="{90C9DFE3-75B5-F345-8024-2A9606157DDB}"/>
    <hyperlink ref="K14" r:id="rId26" location="Ahtautuminen" xr:uid="{3888D00B-BFCA-B043-88CF-77F444E5065A}"/>
    <hyperlink ref="K15" r:id="rId27" location="Kumossa" xr:uid="{31EAB1E9-D130-8A48-A1F2-7FB0FA62F085}"/>
    <hyperlink ref="K16" r:id="rId28" location="taulukko_Panssariluokkamuuntimet" xr:uid="{B0E77EE6-E676-8647-A851-1F1BD4E996DC}"/>
    <hyperlink ref="K17" r:id="rId29" location="N%C3%A4kym%C3%A4tt%C3%B6myys" xr:uid="{82D2F38C-9693-FE47-99BE-DA3AF1273D6B}"/>
    <hyperlink ref="K18" r:id="rId30" location="Suoja" xr:uid="{8A9281DD-E9DA-7949-9A77-F48F18260F1B}"/>
    <hyperlink ref="K19" r:id="rId31" location="N%C3%A4k%C3%B6suoja" xr:uid="{2C3C9171-08D7-AD46-907C-DEE0EC15D94F}"/>
    <hyperlink ref="K20" r:id="rId32" location="T%C3%A4ydellinen_n%C3%A4k%C3%B6suoja" xr:uid="{A1638676-541D-AA49-A871-D6F2C8EBEC30}"/>
    <hyperlink ref="K21" r:id="rId33" location="T%C3%A4yspuolustus" xr:uid="{5CFE5F8D-84F5-3A44-940F-1B4C0305C329}"/>
    <hyperlink ref="G1" r:id="rId34" location="Kykymuunnin" xr:uid="{D8CF30CE-FD3E-294B-8682-4C4D8DD7A27E}"/>
    <hyperlink ref="I1" r:id="rId35" location="Kykymuunnin" xr:uid="{9F398267-6E02-184C-A5EC-CEB1D8652672}"/>
    <hyperlink ref="K1" r:id="rId36" location="Kykyvauriot" xr:uid="{8D87409B-6F90-8F49-8FA4-CCC79F43ED62}"/>
    <hyperlink ref="L1" r:id="rId37" location="Kyvynriisto" xr:uid="{0538F0CA-5B28-2348-B6AA-DC0B8E364949}"/>
    <hyperlink ref="A28" r:id="rId38" location="Sitkeys" xr:uid="{10E7436A-1D1E-AF4C-8911-92D97813EE33}"/>
    <hyperlink ref="A29" r:id="rId39" location="Refleksi" xr:uid="{1EE5B13F-DCF2-D645-8878-72F5AAE6A288}"/>
    <hyperlink ref="A30" r:id="rId40" location="Tahto" xr:uid="{33A98544-D9D0-6045-88CA-00C296A95EF0}"/>
    <hyperlink ref="J32" r:id="rId41" location="Vahva_koulukunta_[yleis]" display="Vahva koulukunta -valtti" xr:uid="{A3186CEB-0693-B146-A95D-7936242E1348}"/>
    <hyperlink ref="M27" r:id="rId42" location="Loitsunsieto" xr:uid="{EC86790C-FD46-4B4E-ABD4-EA8BAA11C5FA}"/>
    <hyperlink ref="M30" r:id="rId43" location="Langettajatasotesti" xr:uid="{CEA38B18-90C8-9B40-A88C-4670D4C3D42A}"/>
    <hyperlink ref="M35" r:id="rId44" location="Salahyoumlkkaumlys" xr:uid="{4644A30A-0AA9-E04D-9828-E252C614AC39}"/>
    <hyperlink ref="A75" r:id="rId45" location="Rynn%C3%A4kk%C3%B6" xr:uid="{4FDF808C-37BF-3140-B5BB-5687B577F94E}"/>
    <hyperlink ref="A76" r:id="rId46" location="Ampuminen_ja_heitt%C3%A4minen_l%C3%A4hitaisteluun" xr:uid="{9BBDFFA1-6E2A-1A4E-B4B2-6845EFA67A07}"/>
    <hyperlink ref="A77" r:id="rId47" location="Koukkaus" xr:uid="{161737B9-24A8-3A48-8935-07B34E13B124}"/>
    <hyperlink ref="A78" r:id="rId48" location="Ahtautuminen" xr:uid="{E7B8E373-19AA-DA4C-A04F-B1171A01E6D7}"/>
    <hyperlink ref="A79" r:id="rId49" location="Kumossa" xr:uid="{7682EE13-5759-F84E-9FE7-72E0C03FDD29}"/>
    <hyperlink ref="A80" r:id="rId50" location="Suotuisat_ja_ep%C3%A4suotuisat_olosuhteet" xr:uid="{32C5590F-2252-2C4B-B10C-316C4D7D3751}"/>
    <hyperlink ref="A81" r:id="rId51" location="N%C3%A4k%C3%B6suoja" xr:uid="{0F537B8C-BCB1-724F-B758-6435C442EFB7}"/>
    <hyperlink ref="A82" r:id="rId52" location="T%C3%A4ydellinen_n%C3%A4k%C3%B6suoja" xr:uid="{6F78A9D0-921A-7843-83B5-063FD4DAE3CE}"/>
    <hyperlink ref="A83" r:id="rId53" location="Puolustuskannalla_taistelu_perustoimintona" xr:uid="{A90DA8B3-54BC-374D-9773-9A916C67885B}"/>
    <hyperlink ref="E75" r:id="rId54" location="Haltioitunut" xr:uid="{9AC13AFD-7853-6546-B90E-5AF130CB1E88}"/>
    <hyperlink ref="E76" r:id="rId55" location="Heikkovointinen" xr:uid="{7A727A8E-741C-7B49-B498-6B811606D1EC}"/>
    <hyperlink ref="E77" r:id="rId56" location="H%C3%A4diss%C3%A4%C3%A4n" xr:uid="{16FE3442-C94B-FA4A-93EC-96A7B48BC68D}"/>
    <hyperlink ref="E78" r:id="rId57" location="H%C3%A4ik%C3%A4istynyt" xr:uid="{F8839A23-719E-5B41-B74E-F09C2DD2F3F7}"/>
    <hyperlink ref="E79" r:id="rId58" location="J%C3%A4hmetetty" xr:uid="{AF7CD434-F1FC-AC4F-B3AE-E311AF8DCFE4}"/>
    <hyperlink ref="E80" r:id="rId59" location="Kauhun_kangistama" xr:uid="{E56D8B31-32AE-884F-8093-3B3C8BAE43B6}"/>
    <hyperlink ref="E81" r:id="rId60" location="Kuuroutunut" xr:uid="{6D0F6CBD-C4AF-EC40-828B-E959885B05E3}"/>
    <hyperlink ref="E82" r:id="rId61" location="Lamaantunut" xr:uid="{A12DA6F2-A9BE-7C4A-A883-A38FF2F3D469}"/>
    <hyperlink ref="E83" r:id="rId62" location="N%C3%A4kym%C3%A4t%C3%B6n" xr:uid="{CDC50DF0-6B5F-DB49-A54E-6A72CC99C1A8}"/>
    <hyperlink ref="E84" r:id="rId63" location="N%C3%A4%C3%A4nnyksiss%C3%A4" xr:uid="{BC3311CF-3A8D-B24C-B3A2-3C4F64AB55D6}"/>
    <hyperlink ref="E85" r:id="rId64" location="Paini" xr:uid="{130C1E5C-E4AC-764E-AB71-75C8BF86D0D7}"/>
    <hyperlink ref="E86" r:id="rId65" location="Pakokauhuinen" xr:uid="{7793ED6D-7979-C743-9193-DB1A8EFAFFF4}"/>
    <hyperlink ref="E87" r:id="rId66" location="Puolustuskyvyt%C3%B6n" xr:uid="{2C1C1EE8-8576-BC46-88F9-0C51103154BB}"/>
    <hyperlink ref="E88" r:id="rId67" location="Kun_sin%C3%A4_olet_sidonnassa" xr:uid="{8FA70BD2-5FA4-3640-9982-162E2D79DC88}"/>
    <hyperlink ref="E89" r:id="rId68" location="Sokaistunut" xr:uid="{6FC80372-1C08-7441-9E81-BE753CC0DC8D}"/>
    <hyperlink ref="E90" r:id="rId69" location="S%C3%A4ik%C3%A4ht%C3%A4nyt" xr:uid="{92C3EBF9-3F94-504D-A0AC-750424412F5D}"/>
    <hyperlink ref="E91" r:id="rId70" location="Takerruksissa" xr:uid="{6937F4FC-E39E-2F40-B45A-002E437C8EA2}"/>
    <hyperlink ref="E92" r:id="rId71" location="Uupunut" xr:uid="{A2BAAC41-7806-B446-8FF9-DBE7CC7F3429}"/>
    <hyperlink ref="A87" r:id="rId72" location="Asetaituruus_[yleis]" xr:uid="{9964A620-98BC-4244-B610-B44B83F1F130}"/>
    <hyperlink ref="A88" r:id="rId73" location="El%C3%A4inymm%C3%A4rrys_[yleis]" xr:uid="{11939988-3A58-0C42-BFAE-DB47465483A9}"/>
    <hyperlink ref="A90" r:id="rId74" location="Harjaantunut_kahdella_aseella_taistelu_[yleis]" xr:uid="{2E0EE67A-ACB0-2047-88EE-D7A6863F56B3}"/>
    <hyperlink ref="A91" r:id="rId75" location="Harjaantunut_paini_[yleis]" xr:uid="{924705B2-696B-8D42-98E8-1B9AC3A3CBE9}"/>
    <hyperlink ref="A92" r:id="rId76" location="Huolellisuus_[yleis]" xr:uid="{39F9F70C-2967-364D-8975-7FE807BB67E5}"/>
    <hyperlink ref="A93" r:id="rId77" location="Itsellisyys_[yleis]" xr:uid="{C96DEB74-B30A-0649-86E6-4675D41074FA}"/>
    <hyperlink ref="A94" r:id="rId78" location="Jaksavuus_[yleis]" xr:uid="{200C6D48-FC08-824A-8145-32621BD372E5}"/>
    <hyperlink ref="A95" r:id="rId79" location="Juoksu_[yleis]" xr:uid="{3C8DBC73-79AC-AA4B-975F-01D630FCA9CF}"/>
    <hyperlink ref="A96" r:id="rId80" location="J%C3%A4ntevyys_[yleis]" xr:uid="{C4C4F240-F9E0-6440-9B93-030543ACCCE0}"/>
    <hyperlink ref="A97" r:id="rId81" location="Kahdella_aseella_taistelu_[yleis]" xr:uid="{3663D55C-20AB-E842-9C13-389FA36447D2}"/>
    <hyperlink ref="A98" r:id="rId82" location="Kaukoammunta_[yleis]" xr:uid="{900E0931-EE5A-4A45-BD0A-1E874CC1E92E}"/>
    <hyperlink ref="A99" r:id="rId83" location="Kehonhallinta_[yleis]" xr:uid="{5C73B0AF-7E56-724A-8CD5-67333B275F78}"/>
    <hyperlink ref="A100" r:id="rId84" location="Lis%C3%A4k%C3%A4%C3%A4nnytys_[yleis]" xr:uid="{638A0751-D126-0247-9012-8526B5049AC8}"/>
    <hyperlink ref="A101" r:id="rId85" location="L%C3%A4p%C3%A4isij%C3%A4loitsu_[yleis]" xr:uid="{36130DFA-52C6-764E-A73F-806383E0A05D}"/>
    <hyperlink ref="A102" r:id="rId86" location="Neuvottelijanluonto_[yleis]" xr:uid="{75E2E8B1-9F44-CA43-93EB-8A575BF1FE06}"/>
    <hyperlink ref="A103" r:id="rId87" location="Nopea_aloite_[yleis]" xr:uid="{3993A447-2993-B240-9D1A-6FD907C40A05}"/>
    <hyperlink ref="A104" r:id="rId88" location="Notkeus_[yleis]" xr:uid="{1457C802-5FC4-034D-9D15-80D4D27386A9}"/>
    <hyperlink ref="A105" r:id="rId89" location="Pikalataus_[yleis]" xr:uid="{B0D6C739-CE7D-D248-A015-888ED36B917C}"/>
    <hyperlink ref="A106" r:id="rId90" location="Pikaveto_[yleis]" xr:uid="{5E7B563B-BF57-A440-B019-1F3752BDE60A}"/>
    <hyperlink ref="A107" r:id="rId91" location="Salavihkaisuus_[yleis]" xr:uid="{4D7FE1F1-B2B2-3D43-B333-F01D5DCC0B7A}"/>
    <hyperlink ref="A108" r:id="rId92" location="Sarjahy%C3%B6kk%C3%A4ys_[yleis]" xr:uid="{A8E68C33-E54A-3B4E-A2BA-C4683C9B24B0}"/>
    <hyperlink ref="A109" r:id="rId93" location="Sokkotaistelu_[yleis]" xr:uid="{D20921B5-983E-9A41-9C29-A5661DC75ECB}"/>
    <hyperlink ref="A110" r:id="rId94" location="Sormin%C3%A4pp%C3%A4ryys_[yleis]" xr:uid="{3AE548E8-B71C-1E48-A79A-8A9FCA2391C4}"/>
    <hyperlink ref="A111" r:id="rId95" location="Taikuudenlahjat_[yleis]" xr:uid="{7CE3609E-31FD-4B45-A27B-CD931C25F40D}"/>
    <hyperlink ref="A112" r:id="rId96" location="Taistelunhallinta_[yleis]" xr:uid="{F67C111D-2867-5042-B2BF-593DC85F4617}"/>
    <hyperlink ref="A113" r:id="rId97" location="Tutkijanluonto_[yleis]" xr:uid="{F26C491B-7806-484E-B14F-860984DB05B1}"/>
    <hyperlink ref="A114" r:id="rId98" location="Vakuuttavuus_[yleis]" xr:uid="{C6C71986-56CB-5E4E-925B-E5326E76918B}"/>
    <hyperlink ref="A115" r:id="rId99" location="Valppaus_[yleis]" xr:uid="{08152CF2-5174-3C48-A64A-FE4CB1ACDDF7}"/>
    <hyperlink ref="A116" r:id="rId100" location="Varmak%C3%A4tisyys_[yleis]" xr:uid="{2423C04C-C534-E247-877E-50B3729CAC4E}"/>
    <hyperlink ref="A117" r:id="rId101" location="Vilpillisyys_[yleis]" xr:uid="{BA6F159C-7C1E-544E-A95A-931228A126D9}"/>
    <hyperlink ref="A118" r:id="rId102" location="V%C3%A4kev%C3%A4_kahdella_aseella_taistelu_[yleis]" xr:uid="{10FF0CCF-0AA3-3845-B375-CCE2E0E5E8E2}"/>
    <hyperlink ref="A119" r:id="rId103" location="V%C3%A4kev%C3%A4_l%C3%A4p%C3%A4isij%C3%A4loitsu_[yleis]" xr:uid="{6856FB6C-3987-024C-B17F-A1CF4176A90E}"/>
    <hyperlink ref="A120" r:id="rId104" location="V%C3%A4kihy%C3%B6kk%C3%A4ys_[yleis]" xr:uid="{E2C4619D-5A32-994F-BF61-57699865005D}"/>
    <hyperlink ref="E95" r:id="rId105" xr:uid="{BD59D112-5199-D841-8BC4-74259B6101F6}"/>
    <hyperlink ref="E98" r:id="rId106" location="Ruumiinkunto-arvon_kasvu_ja_vallitseva_kestopistem%C3%A4%C3%A4r%C3%A4" xr:uid="{4E6E347B-1887-8845-BD97-D6D982F9054D}"/>
    <hyperlink ref="E99" r:id="rId107" location="Tilap%C3%A4iset_kestopisteet" xr:uid="{D6763959-4880-5E4F-809D-D0AC9ECF1B23}"/>
    <hyperlink ref="E102" r:id="rId108" location="Energianriisto_ja_negatiiviset_tasot" xr:uid="{C0203622-8625-BA48-A9E9-D2024BB9E381}"/>
    <hyperlink ref="E104" r:id="rId109" location="Tainnuttavat_vauriot" xr:uid="{822E535B-7189-F841-AEF3-C9EB8EF1874F}"/>
    <hyperlink ref="E108" r:id="rId110" location="Luonnollinen_paraneminen" xr:uid="{7190D4D3-418C-2144-80DD-D6D43A5C44F2}"/>
    <hyperlink ref="K75" r:id="rId111" location="Aavistusvaumlistouml_(Po)" xr:uid="{454B480C-965F-084D-86AC-B87AB0F5F9A2}"/>
    <hyperlink ref="K76" r:id="rId112" location="Mainetekojen_innoitus_(Yl)" xr:uid="{E93FAC3C-84E5-3F4C-A497-7CF67C2943BD}"/>
    <hyperlink ref="K77" r:id="rId113" location="Rohkeuden_valaminen_(Yl)" xr:uid="{3869D20C-DE1E-854C-81AD-1AB72476EB89}"/>
    <hyperlink ref="K78" r:id="rId114" location="Sankaritekojen_innoitus_(Yl)" xr:uid="{B3AFBEDF-1CD1-3F46-B101-B654B29F22E5}"/>
    <hyperlink ref="K79" r:id="rId115" location="Silmitoumln_taisteluvimma_(Po)" xr:uid="{1412A026-A879-4145-9921-DE379C9164B3}"/>
    <hyperlink ref="K80" r:id="rId116" location="Taisteluvimma_(Po)" xr:uid="{E658F947-15F7-DC44-B568-F90B95AF112A}"/>
    <hyperlink ref="K81" r:id="rId117" location="Vaumlkevauml_taisteluvimma_(Po)" xr:uid="{2F737E66-F67A-A84B-9FF3-CF3311C6DB3D}"/>
    <hyperlink ref="K85" r:id="rId118" xr:uid="{48A36F49-9C74-F64B-892A-28126F00F14F}"/>
    <hyperlink ref="K86" r:id="rId119" xr:uid="{7778A4C1-2377-8C48-B95F-2A429EF5F780}"/>
    <hyperlink ref="K87" r:id="rId120" xr:uid="{20A7F44C-B689-DC41-8E89-11BFA0E39561}"/>
    <hyperlink ref="K88" r:id="rId121" xr:uid="{FAC6783C-5A9A-D440-A4B4-B69F64B12E2E}"/>
    <hyperlink ref="K89" r:id="rId122" xr:uid="{050FF614-C2E7-184E-9960-11A90989B601}"/>
    <hyperlink ref="A89" r:id="rId123" location="Esiinloihdinnan_tehostus_[yleis]" xr:uid="{3AF8E491-DA8C-CC48-835A-ECA5BC966341}"/>
    <hyperlink ref="K90" r:id="rId124" xr:uid="{2A56C80E-8E72-9E46-977B-7657AAF6D20B}"/>
    <hyperlink ref="K91" r:id="rId125" xr:uid="{78787407-335E-0E45-B9BA-3B5D36FA0874}"/>
    <hyperlink ref="K92" r:id="rId126" xr:uid="{02C582DD-E626-9841-A7FD-3CCDD71F2F7A}"/>
    <hyperlink ref="K93" r:id="rId127" xr:uid="{502350C2-A0D3-5D40-AC8C-92C372123121}"/>
    <hyperlink ref="K94" r:id="rId128" xr:uid="{0089CE2D-9C86-5947-A239-A7666E2FEA01}"/>
    <hyperlink ref="K95" r:id="rId129" xr:uid="{4A810C98-D2AA-2849-9F9B-8C2F71E33EB2}"/>
    <hyperlink ref="K96" r:id="rId130" xr:uid="{A7130CA0-6163-0649-9E80-C00154CEF5E9}"/>
    <hyperlink ref="K97" r:id="rId131" xr:uid="{9109AF1A-A8F7-C247-B0F3-4958D9F857A7}"/>
    <hyperlink ref="K99" r:id="rId132" xr:uid="{7AD16A42-EE47-324F-8CA9-482CEAE145DA}"/>
    <hyperlink ref="K100" r:id="rId133" xr:uid="{CA75B339-96D9-1640-AF4F-B57EE93E8EC4}"/>
    <hyperlink ref="K101" r:id="rId134" xr:uid="{1BA2D1EA-28F5-C049-BFB7-15AF06961861}"/>
    <hyperlink ref="K102" r:id="rId135" xr:uid="{88ED5263-C66F-4042-B8F1-E0549248315E}"/>
    <hyperlink ref="K103" r:id="rId136" xr:uid="{EA7CAB83-A731-E84E-A04B-5F4A4AA40501}"/>
    <hyperlink ref="K104" r:id="rId137" xr:uid="{8518BE5D-00B0-D949-B9F5-9C0CB1C7D50A}"/>
    <hyperlink ref="K98" r:id="rId138" xr:uid="{1C7AAECE-C20F-2241-B790-C3ADECB1C434}"/>
    <hyperlink ref="K105" r:id="rId139" xr:uid="{D00172DD-EEAB-3A4D-8E06-DBD57D4910C7}"/>
    <hyperlink ref="K106" r:id="rId140" xr:uid="{9AA9AE25-5B02-984E-9B3A-7049429C0436}"/>
    <hyperlink ref="K107" r:id="rId141" xr:uid="{EF346C89-707E-384A-AD89-DC2519B782D8}"/>
    <hyperlink ref="K108" r:id="rId142" xr:uid="{44B08ECE-276D-2C47-BA56-98FE13351DAD}"/>
    <hyperlink ref="K109" r:id="rId143" xr:uid="{8CAA69BF-925C-F54B-9DC5-871DA0D6FAA3}"/>
    <hyperlink ref="K110" r:id="rId144" xr:uid="{820F63D4-42E2-A948-A492-34D377A24741}"/>
    <hyperlink ref="K111" r:id="rId145" xr:uid="{39D31E57-7D5A-8D4E-A78C-203AE9B2CA26}"/>
    <hyperlink ref="K112" r:id="rId146" xr:uid="{D84108AD-C6C3-FE49-861E-E8DABBA59833}"/>
    <hyperlink ref="K113" r:id="rId147" xr:uid="{D9A0CC06-9CB9-9E4B-8501-82FDF0B812BE}"/>
    <hyperlink ref="K114" r:id="rId148" xr:uid="{ACF44181-FCFB-9847-8D13-A1AB3FC68048}"/>
    <hyperlink ref="K115" r:id="rId149" xr:uid="{1CEE446C-0A70-BF49-AD09-61AE0254F1AF}"/>
    <hyperlink ref="K116" r:id="rId150" xr:uid="{EA304E0E-1A6C-F940-AD8C-386AA1C22D90}"/>
    <hyperlink ref="K119" r:id="rId151" xr:uid="{905AC22C-F2BC-D84F-9256-E6E2949A227A}"/>
    <hyperlink ref="K120" r:id="rId152" xr:uid="{562A8A22-977D-4D41-853E-BD0A33FD8850}"/>
    <hyperlink ref="A123" r:id="rId153" xr:uid="{DB48ECC5-6B59-FE47-A71B-506FE4C93267}"/>
    <hyperlink ref="L123" r:id="rId154" xr:uid="{43EC77BD-C589-FF4C-B26F-2A801F3E0FC1}"/>
    <hyperlink ref="A140" r:id="rId155" xr:uid="{F3405AD9-393A-B345-945C-48543D9648A3}"/>
    <hyperlink ref="F140" r:id="rId156" location="Haarniskan_testisakko" xr:uid="{6D0EC4A3-5DA0-0247-9B9E-AF9B6E6A102E}"/>
    <hyperlink ref="A141" r:id="rId157" xr:uid="{0557BACC-84D2-CB45-8A0B-B4E63264A94C}"/>
    <hyperlink ref="A142" r:id="rId158" xr:uid="{E1345C83-566A-2C4E-8BF2-5640000E4962}"/>
    <hyperlink ref="A143" r:id="rId159" xr:uid="{A9A370E7-7E18-994E-BBC7-473E5C910653}"/>
    <hyperlink ref="A144" r:id="rId160" xr:uid="{8C41F8B4-A9E3-244B-AC85-5726B75B0A43}"/>
    <hyperlink ref="A145" r:id="rId161" xr:uid="{76B55B15-0864-8047-8C5A-4E9AD552A111}"/>
    <hyperlink ref="A146" r:id="rId162" xr:uid="{4FA7A9E4-AC2F-5643-870D-1EE81775D84E}"/>
    <hyperlink ref="A147" r:id="rId163" xr:uid="{F26E74E3-C06E-EF42-9D88-F2CE0C320B34}"/>
    <hyperlink ref="A148" r:id="rId164" xr:uid="{22517271-9800-584D-ADBF-0FA954D92B60}"/>
    <hyperlink ref="A149" r:id="rId165" xr:uid="{2F0EAA95-3C1A-3842-B7C0-B9B66F5E3B2A}"/>
    <hyperlink ref="A150" r:id="rId166" xr:uid="{96F7F1FF-CBD8-FA40-940C-B2DCDEC653BE}"/>
    <hyperlink ref="A151" r:id="rId167" xr:uid="{D819AE70-75AD-5641-A7B4-A83B6451A6DC}"/>
    <hyperlink ref="A152" r:id="rId168" xr:uid="{33152A45-FCB2-FD4D-A425-06CA15A83AB8}"/>
    <hyperlink ref="A153" r:id="rId169" xr:uid="{F3438CF1-EED8-4649-8F31-F312CC01D1B0}"/>
    <hyperlink ref="A154" r:id="rId170" xr:uid="{F468DE79-41BB-A44A-AC04-BD07CFB6A739}"/>
    <hyperlink ref="A155" r:id="rId171" xr:uid="{4CB6F51C-7BA2-A44D-9ACF-C32BF604E3A2}"/>
    <hyperlink ref="A156" r:id="rId172" xr:uid="{0F53FAE5-A07C-E243-A266-A8B327098220}"/>
    <hyperlink ref="A157" r:id="rId173" xr:uid="{22AFFA0F-6F35-1D41-9F30-D2873DBB3EC6}"/>
    <hyperlink ref="A158" r:id="rId174" xr:uid="{5A262339-2BC2-0841-9745-627447D0FFA2}"/>
    <hyperlink ref="A159" r:id="rId175" xr:uid="{D519DB70-7301-4749-B2B1-EDD6414187BA}"/>
    <hyperlink ref="A160" r:id="rId176" xr:uid="{4FC248CC-99C8-3244-A5DE-66297DA396C5}"/>
    <hyperlink ref="A161" r:id="rId177" xr:uid="{11F4E62B-B05B-774B-BD8E-4FB93EA6B369}"/>
    <hyperlink ref="A162" r:id="rId178" xr:uid="{AEBFFEED-94BF-3E44-9196-78BBF3D5039F}"/>
    <hyperlink ref="A163" r:id="rId179" xr:uid="{0B01B196-129D-C241-9B46-3E726EBCD6BE}"/>
    <hyperlink ref="A164" r:id="rId180" xr:uid="{FFB02E46-CC0E-2645-917C-871DF9D4BE35}"/>
    <hyperlink ref="A165" r:id="rId181" xr:uid="{48F6E4A3-361F-5148-8C32-18317D6DF2E4}"/>
    <hyperlink ref="A166" r:id="rId182" xr:uid="{F27BAFFC-F711-6C46-91FF-81238D3481AC}"/>
    <hyperlink ref="A167" r:id="rId183" xr:uid="{39F640F4-2BE7-FC4C-90E3-BF626EC9E5BE}"/>
    <hyperlink ref="A168" r:id="rId184" xr:uid="{79DD14A3-0351-E845-89B5-E38A8D8BDC15}"/>
    <hyperlink ref="A169" r:id="rId185" xr:uid="{023DF215-3DA4-C84A-96AA-AE8B629A4765}"/>
    <hyperlink ref="A170" r:id="rId186" xr:uid="{A0233C80-453C-9D4A-AB73-FFF0483DC3EC}"/>
    <hyperlink ref="A171" r:id="rId187" xr:uid="{3625EB42-0F48-F14F-9CE3-9B391A876366}"/>
    <hyperlink ref="A172" r:id="rId188" xr:uid="{7A8FF9CA-E3C5-0543-AD3B-C280760D5C78}"/>
    <hyperlink ref="A173" r:id="rId189" xr:uid="{F9381351-EF37-C544-B358-976DF81A04B9}"/>
    <hyperlink ref="A174" r:id="rId190" xr:uid="{F372EF51-BD8F-9144-8766-9DCCBCAD2711}"/>
    <hyperlink ref="A175" r:id="rId191" xr:uid="{BFE75247-0492-8F4E-9D64-5B6DA7EBB959}"/>
    <hyperlink ref="A176" r:id="rId192" xr:uid="{AC8E9A2A-008B-BE41-8ED4-57219BDADEA0}"/>
    <hyperlink ref="A177" r:id="rId193" xr:uid="{85C89554-E722-C940-B334-AFB175D3CDE8}"/>
    <hyperlink ref="A178" r:id="rId194" xr:uid="{3C0A967A-C5C5-A943-99EA-499CEB17320F}"/>
    <hyperlink ref="A179" r:id="rId195" xr:uid="{645DD627-1F48-8D41-B1A0-C2E5B5B2A8A5}"/>
    <hyperlink ref="A180" r:id="rId196" xr:uid="{40F01B6F-9057-C345-9CF0-835178E55329}"/>
    <hyperlink ref="A181" r:id="rId197" xr:uid="{3DF4AA90-74C1-084D-9265-FC0DAD225E93}"/>
    <hyperlink ref="A182" r:id="rId198" xr:uid="{3634428B-25BD-3940-8A3C-4F4A22C34CFC}"/>
    <hyperlink ref="A183" r:id="rId199" xr:uid="{F333526C-C2BD-434C-8C4F-90FFE8649A74}"/>
    <hyperlink ref="A184" r:id="rId200" xr:uid="{0F9E451B-1B20-224D-AA0D-927B06FAE100}"/>
    <hyperlink ref="A185" r:id="rId201" xr:uid="{F07D9E8C-D2A1-B94B-9F13-197E62F75A1D}"/>
    <hyperlink ref="A186" r:id="rId202" xr:uid="{50D33517-944A-7846-89C7-4EC8D5B3325C}"/>
    <hyperlink ref="A187" r:id="rId203" xr:uid="{56C7EAB1-9008-5E4F-BBD6-47EFF559CD84}"/>
    <hyperlink ref="A188" r:id="rId204" xr:uid="{49924E58-BACF-F141-9A79-840A5BFA02D0}"/>
    <hyperlink ref="A189" r:id="rId205" xr:uid="{512D661E-A983-394B-BC91-D1BA19C465D7}"/>
    <hyperlink ref="A190" r:id="rId206" xr:uid="{6D764FDE-78FE-3F41-9381-5A7A4EDF8D6D}"/>
    <hyperlink ref="A191" r:id="rId207" xr:uid="{80741D5F-9EEB-8644-BFB8-B17DCAC6A2FF}"/>
    <hyperlink ref="A192" r:id="rId208" xr:uid="{F1343764-B636-CF40-B46F-462F8E6A317E}"/>
    <hyperlink ref="A193" r:id="rId209" xr:uid="{EBD39662-427E-D248-9B34-5F5736690EAC}"/>
    <hyperlink ref="A194" r:id="rId210" xr:uid="{636B3856-DEA5-F340-AA53-D5F2585FE135}"/>
    <hyperlink ref="A195" r:id="rId211" xr:uid="{529626A3-B86A-314F-860B-75CEE94F1512}"/>
    <hyperlink ref="A196" r:id="rId212" xr:uid="{3B7E5119-29D7-3A4C-9BDB-267677A733C3}"/>
    <hyperlink ref="A197" r:id="rId213" xr:uid="{51F4AEC0-A2A5-2945-92FA-79126946DEA4}"/>
    <hyperlink ref="L140" r:id="rId214" location="Kykytestit" xr:uid="{BEDC80C6-7263-1644-89EE-A85045A4CA07}"/>
    <hyperlink ref="L149" r:id="rId215" location="Ep%C3%A4kuolleiden_k%C3%A4%C3%A4nnytys_tai_ojennus" xr:uid="{97E596B4-6D58-814A-9D8E-ABE322D7CA75}"/>
    <hyperlink ref="A200" r:id="rId216" location="Yhden_k%C3%A4den" xr:uid="{85F2C006-E821-6841-AC85-726BC8D4F6EA}"/>
    <hyperlink ref="A216" r:id="rId217" location="Kama" xr:uid="{30FA4BE8-325C-614F-9EED-D5BB5B336F30}"/>
    <hyperlink ref="A238" r:id="rId218" location="Kolmik%C3%A4rki" xr:uid="{2932FD61-93A4-4842-B8D5-510C460BF89E}"/>
    <hyperlink ref="A274" r:id="rId219" location="K%C3%A4%C3%A4pi%C3%B6tappara" xr:uid="{A3FF4413-B5B0-F64F-BBF4-8245E77DFF2E}"/>
    <hyperlink ref="A282" r:id="rId220" location="Lyhytkeih%C3%A4s" xr:uid="{ADB5C62C-8595-4146-BF01-9344FB485F58}"/>
    <hyperlink ref="A296" r:id="rId221" location="Nunt%C5%A1aku" xr:uid="{D9EA0D77-F34E-014C-AC29-B19E974CA8C2}"/>
    <hyperlink ref="A320" r:id="rId222" location="Puolentoista_k%C3%A4den_miekka" xr:uid="{66B79594-A24F-BB4C-8EB6-CBCA58B5B5D2}"/>
    <hyperlink ref="A336" r:id="rId223" location="Kilpily%C3%B6ntihy%C3%B6kk%C3%A4ykset" xr:uid="{ADD81815-6190-744D-8686-67A44CB3DED7}"/>
    <hyperlink ref="A344" r:id="rId224" location="Kilpipiikit" xr:uid="{BA957CBE-1383-564B-A80B-B5EBF64375A8}"/>
    <hyperlink ref="A360" r:id="rId225" location="Siangham" xr:uid="{9A196115-1A11-B24D-83A3-5105B0D32F3A}"/>
    <hyperlink ref="A392" r:id="rId226" location="Varsta_tai_raskas_varsta" xr:uid="{AEFC2EEE-E91D-9B45-B9CD-46F8AC2F4A7A}"/>
    <hyperlink ref="A384" r:id="rId227" location="S%C3%A4il%C3%A4" xr:uid="{539E5D24-BF4E-804E-90FA-BA3745AE57F5}"/>
    <hyperlink ref="A400" r:id="rId228" location="Kevyt" xr:uid="{E9CA5473-B30B-3942-B838-13895B19614E}"/>
    <hyperlink ref="A402" r:id="rId229" location="Aseeton_isku" xr:uid="{B4E23286-0EF4-F44A-B6B6-0E74BAEE43FF}"/>
    <hyperlink ref="A414" r:id="rId230" location="Kilpily%C3%B6ntihy%C3%B6kk%C3%A4ykset" xr:uid="{CDFC6447-C65A-4742-9E35-ECFB57B9E7D5}"/>
    <hyperlink ref="A420" r:id="rId231" location="Kilpipiikit" xr:uid="{DC11807D-5EB3-FC41-97B7-D31169036DBD}"/>
    <hyperlink ref="A456" r:id="rId232" location="Haarniskapiikit" xr:uid="{BF4A2E2A-6C2C-874F-B727-4BB9F53D9439}"/>
    <hyperlink ref="A462" r:id="rId233" location="Piikkitaisteluhansikas" xr:uid="{C90A9433-6190-3F45-B6FE-EA628E6E5926}"/>
    <hyperlink ref="A474" r:id="rId234" location="Sai" xr:uid="{B580FBE5-A47D-A74A-AD25-8D208C8F286D}"/>
    <hyperlink ref="A486" r:id="rId235" location="Sirppi" xr:uid="{B3AE834A-29A2-BA41-B086-C2B1E1DA16AC}"/>
    <hyperlink ref="A492" r:id="rId236" location="Taisteluhansikas" xr:uid="{52E0DE61-169A-E643-B4DA-2D4EE84DE678}"/>
    <hyperlink ref="A498" r:id="rId237" location="Tikari" xr:uid="{3EB74003-A68A-304A-988E-497C14B46BBF}"/>
    <hyperlink ref="A512" r:id="rId238" location="Hilpari" xr:uid="{0B8A2CEB-C9EE-9C44-837A-D3D59B8651A2}"/>
    <hyperlink ref="A558" r:id="rId239" location="Viikate" xr:uid="{46B6A379-F40C-D745-A46E-2D2FF6341C7F}"/>
    <hyperlink ref="A510" r:id="rId240" location="Kahden_k%C3%A4den" xr:uid="{40F43C34-611A-984F-84D9-A6A290CAA304}"/>
    <hyperlink ref="A564" r:id="rId241" location="Kaksoisaseet" xr:uid="{AF81517C-E142-E042-BA73-F1E2E9DEF289}"/>
    <hyperlink ref="A566" r:id="rId242" location="Miekka,_kaksipaumlinen" xr:uid="{5C0682A7-7201-504D-ABDD-B175BBCE016A}"/>
    <hyperlink ref="A572" r:id="rId243" location="Varsta,_kaksipaumlinen" xr:uid="{1E472C5E-C892-3942-9172-523ACC854C2D}"/>
    <hyperlink ref="A578" r:id="rId244" location="Koukkupaumlinen_maahisvasara" xr:uid="{4854B08F-A5FE-C745-9166-CFFA5E6494AA}"/>
    <hyperlink ref="A584" r:id="rId245" location="Kaumlaumlpioumlurgrossi" xr:uid="{A5B3251A-F909-B64E-BE5F-1206636438CE}"/>
    <hyperlink ref="A590" r:id="rId246" location="Taistelusauva" xr:uid="{6F61FE85-FC04-B748-A292-0252C1806A13}"/>
    <hyperlink ref="A596" r:id="rId247" location="Kaksoiskirves,_oumlrkkien" xr:uid="{080CA229-29F6-D84F-80A8-1F621C48DAF4}"/>
    <hyperlink ref="A602" r:id="rId248" location="Ulottuma-aseet" xr:uid="{16C4F37A-0A3D-6D40-AA2A-BCCA38F591E4}"/>
    <hyperlink ref="A604" r:id="rId249" location="Glaivi" xr:uid="{41DB4E5F-CCEB-D045-9F95-B70B9E160AD9}"/>
    <hyperlink ref="A610" r:id="rId250" location="Guisarme" xr:uid="{F59151DD-4BFC-1A4F-867D-0083C99C8E6C}"/>
    <hyperlink ref="A616" r:id="rId251" location="Peitsi" xr:uid="{C4005E6D-7407-1648-94B0-1E385F23CFD7}"/>
    <hyperlink ref="A622" r:id="rId252" location="Piikkiketju" xr:uid="{7965F1C9-A15E-A24B-A48A-ABFDFF67BF3A}"/>
    <hyperlink ref="A628" r:id="rId253" location="Pitkaumlkeihaumls" xr:uid="{4EAE495B-265C-A743-AC7B-328204F32454}"/>
    <hyperlink ref="A634" r:id="rId254" location="Ranseur" xr:uid="{774DD363-E207-B743-96D0-80C0007451E8}"/>
    <hyperlink ref="A640" r:id="rId255" location="Ruoska" xr:uid="{CB624A06-640C-D64A-9B15-CF6F9356138F}"/>
    <hyperlink ref="A650" r:id="rId256" location="Bola" xr:uid="{5FAE964D-131E-2F4F-A5A9-219A2511E578}"/>
    <hyperlink ref="A648" r:id="rId257" location="Heittoaseet" xr:uid="{955861AA-5202-224D-90F7-17C1A2345702}"/>
    <hyperlink ref="A658" r:id="rId258" location="Heittokeihaumls" xr:uid="{A7E903D8-4497-A64F-B6AC-481CBC7B213F}"/>
    <hyperlink ref="A552" r:id="rId259" location="Varsta_tai_raskas_varsta" xr:uid="{13E89123-B350-034D-849F-B17618E362D6}"/>
    <hyperlink ref="A542" r:id="rId260" location="Keihaumls" xr:uid="{621ECAB5-7E07-F54B-8643-B7C1175E71D8}"/>
    <hyperlink ref="A674" r:id="rId261" location="Scaronuriken" xr:uid="{BBCA3656-E1C0-9C4C-9208-3A6D4F69011D}"/>
    <hyperlink ref="A682" r:id="rId262" location="Verkko" xr:uid="{B03D5415-5F9D-1E4E-8FBE-3934B391BA19}"/>
    <hyperlink ref="A690" r:id="rId263" location="Ammusaseet" xr:uid="{2D0D39B8-1C2B-B043-A7BD-3C5BAA298F61}"/>
    <hyperlink ref="A692" r:id="rId264" location="Lippaallinen_varsijousi" xr:uid="{22740E54-9304-9A4C-B03A-397A72174FC2}"/>
    <hyperlink ref="A770" r:id="rId265" location="Lippaallinen_varsijousi" xr:uid="{92B06251-40AF-6248-A518-D221B5D88EBB}"/>
    <hyperlink ref="A705" r:id="rId266" location="Varsijousi,_kevyt" xr:uid="{22AB5B0D-9090-A446-B898-E6E74D159A97}"/>
    <hyperlink ref="A718" r:id="rId267" location="Linko" xr:uid="{0BFA92A2-0650-974C-92DF-A30777ECF1E1}"/>
    <hyperlink ref="A731" r:id="rId268" location="Lyhytjousi" xr:uid="{8E11AB47-7E1A-8245-9FD5-D54E9517D157}"/>
    <hyperlink ref="A744" r:id="rId269" location="Pienoisvarsijousi" xr:uid="{87821121-6682-6F4D-9A27-028A6AEDAF4E}"/>
    <hyperlink ref="A757" r:id="rId270" location="Pitkaumljousi" xr:uid="{FE7AB273-461D-8D43-956D-90A097D1622D}"/>
    <hyperlink ref="A783" r:id="rId271" location="Varsijousi,_raskas" xr:uid="{0616125C-DE22-0E4B-AE2D-85F5CC3F7AB4}"/>
    <hyperlink ref="A796" r:id="rId272" location="Yhdistelmaumllyhytjousi" xr:uid="{21BD2CFC-9CAB-E240-BD43-15A3EF0FA8F1}"/>
    <hyperlink ref="A809" r:id="rId273" location="Yhdistelmaumlpitkaumljousi" xr:uid="{D71EB37C-2208-4D4D-BB0D-D6C15D74B32B}"/>
    <hyperlink ref="A822" r:id="rId274" location="S%C3%A4de" xr:uid="{A9686353-616F-4744-82A1-221632B0EC7D}"/>
    <hyperlink ref="A830" r:id="rId275" location="Kehoaseet" xr:uid="{29B8B58F-6477-854B-9508-086946E2D9BD}"/>
    <hyperlink ref="A836" r:id="rId276" location="Kehoaseet" xr:uid="{B3D879C1-02AB-D641-8281-9897DB98CAF5}"/>
    <hyperlink ref="A842" r:id="rId277" location="Aseeton_isku" xr:uid="{92D13A70-5462-2F43-AD13-82CF2CE75D73}"/>
    <hyperlink ref="H202" r:id="rId278" location="Valioaseet" xr:uid="{14F3FEE4-7CF0-754C-99FB-E7E25FA332D0}"/>
    <hyperlink ref="H216" r:id="rId279" location="Valioaseet" xr:uid="{C19E8532-B902-C240-AFDF-3C3348CC5AD6}"/>
    <hyperlink ref="H224" r:id="rId280" location="Valioaseet" xr:uid="{0BAA89EF-3889-E944-A203-368DA4247EEB}"/>
    <hyperlink ref="H238" r:id="rId281" location="Valioaseet" xr:uid="{AA645F2D-9723-1842-A5CE-F1EEA0C7541D}"/>
    <hyperlink ref="H252" r:id="rId282" location="Valioaseet" xr:uid="{E9038BFA-FDBC-EB42-9B3B-E16669CA34FF}"/>
    <hyperlink ref="H266" r:id="rId283" location="Valioaseet" xr:uid="{02C2508D-2332-F947-A116-37D6F1E468FE}"/>
    <hyperlink ref="H274" r:id="rId284" location="Valioaseet" xr:uid="{9C83CBEA-87A4-F64E-8D0F-75DC99F353FB}"/>
    <hyperlink ref="H282" r:id="rId285" location="Valioaseet" xr:uid="{91382DE4-63A7-3049-8599-2670E53E1F86}"/>
    <hyperlink ref="H296" r:id="rId286" location="Valioaseet" xr:uid="{4A4F8BB5-13D9-A24E-86AC-E00DEEE785E3}"/>
    <hyperlink ref="H304" r:id="rId287" location="Valioaseet" xr:uid="{45C484D0-1E12-CE4C-9416-44361FC002F9}"/>
    <hyperlink ref="H312" r:id="rId288" location="Valioaseet" xr:uid="{FF983D63-FBD7-C44E-AA16-3CC1ACD7BC02}"/>
    <hyperlink ref="H320" r:id="rId289" location="Valioaseet" xr:uid="{DB2DDFF1-5E38-724F-9AA8-3C135A397CE6}"/>
    <hyperlink ref="H328" r:id="rId290" location="Valioaseet" xr:uid="{1730A355-FE6B-2747-B6DD-8DAC620A12FF}"/>
    <hyperlink ref="H336" r:id="rId291" location="Valioaseet" xr:uid="{A4854BEA-0239-F640-BE9D-6B0898DC3541}"/>
    <hyperlink ref="H344" r:id="rId292" location="Valioaseet" xr:uid="{02335DDF-D95C-A047-8AA1-7D47D532FFF9}"/>
    <hyperlink ref="H352" r:id="rId293" location="Valioaseet" xr:uid="{5C5A1822-5019-C549-B94A-8A01E50473CC}"/>
    <hyperlink ref="H360" r:id="rId294" location="Valioaseet" xr:uid="{5B6E66D4-DDC7-0346-9F9E-05BCCB1028BD}"/>
    <hyperlink ref="H368" r:id="rId295" location="Valioaseet" xr:uid="{0230E9FC-3DA0-D846-804C-DBF2BDF2A6E8}"/>
    <hyperlink ref="H376" r:id="rId296" location="Valioaseet" xr:uid="{BD895D16-939D-7042-B139-6B906C7AA67A}"/>
    <hyperlink ref="H384" r:id="rId297" location="Valioaseet" xr:uid="{C77B463B-9E6E-CD4A-85F2-54FA1A5AE2FA}"/>
    <hyperlink ref="H392" r:id="rId298" location="Valioaseet" xr:uid="{86439ACB-D52E-9244-8904-BED95DFF718A}"/>
    <hyperlink ref="H408" r:id="rId299" location="Valioaseet" xr:uid="{75503D1D-8000-1342-99F2-3877F07D9991}"/>
    <hyperlink ref="H414" r:id="rId300" location="Valioaseet" xr:uid="{736DEDEF-5A2C-3A40-932C-4D44BFB07E00}"/>
    <hyperlink ref="H420" r:id="rId301" location="Valioaseet" xr:uid="{3FD77246-E3DF-4349-A27C-BEEF250ABF6D}"/>
    <hyperlink ref="H426" r:id="rId302" location="Valioaseet" xr:uid="{B6073762-6788-9345-B2CF-7F4859BF8014}"/>
    <hyperlink ref="H432" r:id="rId303" location="Valioaseet" xr:uid="{67682081-2CCF-1640-85AC-439D62DF7314}"/>
    <hyperlink ref="H438" r:id="rId304" location="Valioaseet" xr:uid="{634371EC-A31F-644C-8866-E0AFAC78A6CF}"/>
    <hyperlink ref="H444" r:id="rId305" location="Valioaseet" xr:uid="{D19BD26C-4F32-D24F-83A8-EBF0C60C5ADC}"/>
    <hyperlink ref="H450" r:id="rId306" location="Valioaseet" xr:uid="{A61652F9-098D-3F42-877C-6D1AFE5F02DA}"/>
    <hyperlink ref="H456" r:id="rId307" location="Valioaseet" xr:uid="{608A0B0C-E1E5-244D-A9E1-4BBF0EFCE1C9}"/>
    <hyperlink ref="H462" r:id="rId308" location="Valioaseet" xr:uid="{C09A053C-A35A-4848-AE25-A6CEF196F910}"/>
    <hyperlink ref="H468" r:id="rId309" location="Valioaseet" xr:uid="{0CFCFA38-81EB-DF43-8D1D-19DAE25121BE}"/>
    <hyperlink ref="H474" r:id="rId310" location="Valioaseet" xr:uid="{D6299DA9-2B97-F845-A84E-39BF01893F94}"/>
    <hyperlink ref="H486" r:id="rId311" location="Valioaseet" xr:uid="{520C0B4F-D5D5-BD44-956B-105B4DD60CCD}"/>
    <hyperlink ref="H492" r:id="rId312" location="Valioaseet" xr:uid="{458648D6-28FE-5E4D-AD36-4FE6078AC80A}"/>
    <hyperlink ref="H498" r:id="rId313" location="Valioaseet" xr:uid="{D9D8A50E-CD4A-F744-AC7E-A0ABF7B3A851}"/>
    <hyperlink ref="H512" r:id="rId314" location="Valioaseet" xr:uid="{6E77AD70-CCAC-5C4A-B0B3-72925DB02230}"/>
    <hyperlink ref="H518" r:id="rId315" location="Valioaseet" xr:uid="{EA937F91-C6EA-9547-8189-BFFCBD57DB24}"/>
    <hyperlink ref="H524" r:id="rId316" location="Valioaseet" xr:uid="{2B479D97-F81B-A945-B454-808B03F169C5}"/>
    <hyperlink ref="H530" r:id="rId317" location="Valioaseet" xr:uid="{33D95B64-0093-DC4F-8EC0-B5293B945D49}"/>
    <hyperlink ref="H536" r:id="rId318" location="Valioaseet" xr:uid="{B28CB39D-14BB-7540-A462-1F6C0241BB76}"/>
    <hyperlink ref="H542" r:id="rId319" location="Valioaseet" xr:uid="{4ECC8F60-FD32-9643-9DD2-6120406D313C}"/>
    <hyperlink ref="H552" r:id="rId320" location="Valioaseet" xr:uid="{0A86AB01-0F82-1740-A288-D7BC74DF5C7F}"/>
    <hyperlink ref="H558" r:id="rId321" location="Valioaseet" xr:uid="{9AA8DD65-E705-D949-A4A2-48808A42E437}"/>
    <hyperlink ref="H566" r:id="rId322" location="Valioaseet" xr:uid="{B91F316B-3BB8-7B4B-B7B0-1A414C906D83}"/>
    <hyperlink ref="H572" r:id="rId323" location="Valioaseet" xr:uid="{58E6C828-13C9-EF4B-8F83-424CF54C2261}"/>
    <hyperlink ref="H578" r:id="rId324" location="Valioaseet" xr:uid="{278F877D-E6F6-894B-9F99-FB3AEF20E071}"/>
    <hyperlink ref="H584" r:id="rId325" location="Valioaseet" xr:uid="{FF44745A-F289-3A4F-8AFD-941D8570F251}"/>
    <hyperlink ref="H590" r:id="rId326" location="Valioaseet" xr:uid="{5E886211-93BD-D24A-B808-5B319EDD70F0}"/>
    <hyperlink ref="H596" r:id="rId327" location="Valioaseet" xr:uid="{4E321B8B-9088-2B4B-B03E-33D7EDB13F6C}"/>
    <hyperlink ref="H604" r:id="rId328" location="Valioaseet" xr:uid="{D94935B7-F9D1-B54F-BDF0-56D9BF7A2BA9}"/>
    <hyperlink ref="H610" r:id="rId329" location="Valioaseet" xr:uid="{0531DFC4-04EE-7148-AE15-3ACC5072B0AD}"/>
    <hyperlink ref="H616" r:id="rId330" location="Valioaseet" xr:uid="{80E8379C-BE5B-E34B-B687-E93B843DB226}"/>
    <hyperlink ref="H622" r:id="rId331" location="Valioaseet" xr:uid="{86B1EB64-E3B4-A349-B1A9-C0130751FA19}"/>
    <hyperlink ref="H628" r:id="rId332" location="Valioaseet" xr:uid="{3A266D35-6FC7-9043-A531-7EF85547742B}"/>
    <hyperlink ref="H634" r:id="rId333" location="Valioaseet" xr:uid="{56AAA9D3-4845-AA4A-A5E4-DAEB365BBB0A}"/>
    <hyperlink ref="H640" r:id="rId334" location="Valioaseet" xr:uid="{B3B9B837-B40E-9D45-A306-B53DB6A3F240}"/>
    <hyperlink ref="H650" r:id="rId335" location="Valioaseet" xr:uid="{B760A329-6F7A-5D4F-BF89-FFEFD47BC037}"/>
    <hyperlink ref="H658" r:id="rId336" location="Valioaseet" xr:uid="{6941B243-6B4E-2745-9A80-9C860A3567D3}"/>
    <hyperlink ref="H666" r:id="rId337" location="Valioaseet" xr:uid="{32D8076D-D471-AD49-923A-5410C889AAB8}"/>
    <hyperlink ref="H674" r:id="rId338" location="Valioaseet" xr:uid="{FC395A9F-6503-224E-9822-910A2F48E1FB}"/>
    <hyperlink ref="H682" r:id="rId339" location="Valioaseet" xr:uid="{72E975BF-607A-A74A-A454-A74688F57010}"/>
    <hyperlink ref="H692" r:id="rId340" location="Valioaseet" xr:uid="{CC7C902F-A88C-C040-A1D4-10DBF60CD577}"/>
    <hyperlink ref="H718" r:id="rId341" location="Valioaseet" xr:uid="{636D3659-B5E2-014F-8075-4CDB1D935EB4}"/>
    <hyperlink ref="H705" r:id="rId342" location="Valioaseet" xr:uid="{823DE365-EC4A-6647-B8E0-F2FB56480A3F}"/>
    <hyperlink ref="H731" r:id="rId343" location="Valioaseet" xr:uid="{C15B0736-BD6D-2A4E-9121-0DC8FE21C24E}"/>
    <hyperlink ref="H744" r:id="rId344" location="Valioaseet" xr:uid="{07875EEF-F137-AD42-B2A7-5FD4B3C3BA92}"/>
    <hyperlink ref="H757" r:id="rId345" location="Valioaseet" xr:uid="{8B5E3B90-8CBC-4844-8D69-5B53AF0FE327}"/>
    <hyperlink ref="H770" r:id="rId346" location="Valioaseet" xr:uid="{2F8CFE41-3D58-B64F-843E-C31C6EC333EC}"/>
    <hyperlink ref="H783" r:id="rId347" location="Valioaseet" xr:uid="{00D50824-7CF3-6848-93BC-A14FF3D8A0AF}"/>
    <hyperlink ref="H796" r:id="rId348" location="Valioaseet" xr:uid="{75CAC481-59BF-EE40-AFC3-FB3CD01444D8}"/>
    <hyperlink ref="H809" r:id="rId349" location="Valioaseet" xr:uid="{62FFC9A1-7D22-5342-BC88-D431D127972A}"/>
    <hyperlink ref="H844" r:id="rId350" location="Aseeseen_keskittyminen_[yleis]" xr:uid="{3CDC04F7-DAE2-D447-BE25-93982C85E0C6}"/>
    <hyperlink ref="H838" r:id="rId351" location="Aseeseen_keskittyminen_[yleis]" xr:uid="{BA592BC6-996A-7A48-B038-23EF81257CBB}"/>
    <hyperlink ref="H832" r:id="rId352" location="Aseeseen_keskittyminen_[yleis]" xr:uid="{FCA48B5B-DF3D-C94E-A00D-AC041F65EA01}"/>
    <hyperlink ref="H824" r:id="rId353" location="Aseeseen_keskittyminen_[yleis]" xr:uid="{39B92856-EEFC-4349-B6E7-8FF40214FD54}"/>
    <hyperlink ref="H811" r:id="rId354" location="Aseeseen_keskittyminen_[yleis]" xr:uid="{6148F7BA-150C-0145-B377-62D885929E78}"/>
    <hyperlink ref="H798" r:id="rId355" location="Aseeseen_keskittyminen_[yleis]" xr:uid="{41C6545D-6956-B443-9538-E23C8A8F8A80}"/>
    <hyperlink ref="H785" r:id="rId356" location="Aseeseen_keskittyminen_[yleis]" xr:uid="{4EAD3B4A-60C7-8A47-948A-16EB565F7266}"/>
    <hyperlink ref="H772" r:id="rId357" location="Aseeseen_keskittyminen_[yleis]" xr:uid="{416095FA-FFB0-A242-ACCD-CE5C49F7131F}"/>
    <hyperlink ref="H759" r:id="rId358" location="Aseeseen_keskittyminen_[yleis]" xr:uid="{051A289B-D209-1C46-B4C8-D196277037EE}"/>
    <hyperlink ref="H746" r:id="rId359" location="Aseeseen_keskittyminen_[yleis]" xr:uid="{E3A2DF52-269F-8B48-BC56-0477CA838524}"/>
    <hyperlink ref="H733" r:id="rId360" location="Aseeseen_keskittyminen_[yleis]" xr:uid="{84196A67-4544-CA4C-96D2-498777C35A0C}"/>
    <hyperlink ref="H720" r:id="rId361" location="Aseeseen_keskittyminen_[yleis]" xr:uid="{24910AD6-84E5-FC48-BB9C-B863051AC754}"/>
    <hyperlink ref="H707" r:id="rId362" location="Aseeseen_keskittyminen_[yleis]" xr:uid="{BCD83229-20E3-2F4E-BD26-EBE207455EA9}"/>
    <hyperlink ref="H694" r:id="rId363" location="Aseeseen_keskittyminen_[yleis]" xr:uid="{4DD21152-4AB5-A14D-85B9-57E45535C824}"/>
    <hyperlink ref="H684" r:id="rId364" location="Aseeseen_keskittyminen_[yleis]" xr:uid="{F738C4B9-C819-A440-879E-021C9CD45EA2}"/>
    <hyperlink ref="H676" r:id="rId365" location="Aseeseen_keskittyminen_[yleis]" xr:uid="{E9AF8509-8C3E-4A48-ABFA-C8EE1498BE22}"/>
    <hyperlink ref="H668" r:id="rId366" location="Aseeseen_keskittyminen_[yleis]" xr:uid="{849AE562-C38A-694B-8E8A-ABB2816338BA}"/>
    <hyperlink ref="H660" r:id="rId367" location="Aseeseen_keskittyminen_[yleis]" xr:uid="{73D2C2C9-4678-724B-A78B-5194ACC73031}"/>
    <hyperlink ref="H652" r:id="rId368" location="Aseeseen_keskittyminen_[yleis]" xr:uid="{6F7D7451-947E-D84B-8CCD-5E8C9603C93D}"/>
    <hyperlink ref="H642" r:id="rId369" location="Aseeseen_keskittyminen_[yleis]" xr:uid="{6E1DEC62-66F2-144B-AE4D-E1D92E6BE593}"/>
    <hyperlink ref="H636" r:id="rId370" location="Aseeseen_keskittyminen_[yleis]" xr:uid="{8BCE3AB7-5C01-EE44-9B10-64AC76BF2148}"/>
    <hyperlink ref="H630" r:id="rId371" location="Aseeseen_keskittyminen_[yleis]" xr:uid="{D8897E59-5D50-CA48-97CF-13B79E358F18}"/>
    <hyperlink ref="H624" r:id="rId372" location="Aseeseen_keskittyminen_[yleis]" xr:uid="{C465126B-F20E-3045-9013-5D4C4703DE4B}"/>
    <hyperlink ref="H618" r:id="rId373" location="Aseeseen_keskittyminen_[yleis]" xr:uid="{A7F55F26-ACBF-3F47-A33B-E6E878894987}"/>
    <hyperlink ref="H606" r:id="rId374" location="Aseeseen_keskittyminen_[yleis]" xr:uid="{84683428-F671-114D-B07B-131633826214}"/>
    <hyperlink ref="H612" r:id="rId375" location="Aseeseen_keskittyminen_[yleis]" xr:uid="{47848772-88BF-FE47-9351-806254F43EDF}"/>
    <hyperlink ref="H592" r:id="rId376" location="Aseeseen_keskittyminen_[yleis]" xr:uid="{7D6B4B9E-FA9B-DB46-9054-9B7D8433335E}"/>
    <hyperlink ref="H598" r:id="rId377" location="Aseeseen_keskittyminen_[yleis]" xr:uid="{B47AAAB2-F1FD-9B4D-9305-55A8415B71DD}"/>
    <hyperlink ref="H586" r:id="rId378" location="Aseeseen_keskittyminen_[yleis]" xr:uid="{052DB5B2-FFC1-834B-9ACF-F4D58FFAA4CA}"/>
    <hyperlink ref="H580" r:id="rId379" location="Aseeseen_keskittyminen_[yleis]" xr:uid="{507B644E-FD3D-BF48-B9E3-FA31D88387C7}"/>
    <hyperlink ref="H574" r:id="rId380" location="Aseeseen_keskittyminen_[yleis]" xr:uid="{7F56BACF-E4EB-C947-B6AC-6B17671A07B1}"/>
    <hyperlink ref="H568" r:id="rId381" location="Aseeseen_keskittyminen_[yleis]" xr:uid="{929CA3F5-0334-ED46-9C06-03864CDB8AA4}"/>
    <hyperlink ref="H560" r:id="rId382" location="Aseeseen_keskittyminen_[yleis]" xr:uid="{F7F7ECE6-B84C-BB4E-A4CF-087133DC768F}"/>
    <hyperlink ref="H554" r:id="rId383" location="Aseeseen_keskittyminen_[yleis]" xr:uid="{35895D10-2A62-B24D-9105-E05646D8B0D6}"/>
    <hyperlink ref="H544" r:id="rId384" location="Aseeseen_keskittyminen_[yleis]" xr:uid="{215F159D-D4F2-F446-96A0-2406860CEB9A}"/>
    <hyperlink ref="H538" r:id="rId385" location="Aseeseen_keskittyminen_[yleis]" xr:uid="{417AD25C-62A1-B243-8B43-DB73C3208394}"/>
    <hyperlink ref="H532" r:id="rId386" location="Aseeseen_keskittyminen_[yleis]" xr:uid="{A992071D-E69E-2845-B5EB-87D812263530}"/>
    <hyperlink ref="H526" r:id="rId387" location="Aseeseen_keskittyminen_[yleis]" xr:uid="{D00BBF62-36CB-3A4A-9151-2948F6A3E008}"/>
    <hyperlink ref="H520" r:id="rId388" location="Aseeseen_keskittyminen_[yleis]" xr:uid="{A6B1BB37-73E8-904C-990F-20559C913F2A}"/>
    <hyperlink ref="H514" r:id="rId389" location="Aseeseen_keskittyminen_[yleis]" xr:uid="{74E1E508-5F9C-0C44-9649-9C94F04ED076}"/>
    <hyperlink ref="H500" r:id="rId390" location="Aseeseen_keskittyminen_[yleis]" xr:uid="{FFA46AB1-5C90-CA4B-9AF1-0524232B384F}"/>
    <hyperlink ref="H494" r:id="rId391" location="Aseeseen_keskittyminen_[yleis]" xr:uid="{70580FD3-3E22-424B-8F32-36143DE6A799}"/>
    <hyperlink ref="H488" r:id="rId392" location="Aseeseen_keskittyminen_[yleis]" xr:uid="{AFD4585B-A4A6-324B-8F66-59DBF90D84A0}"/>
    <hyperlink ref="H476" r:id="rId393" location="Aseeseen_keskittyminen_[yleis]" xr:uid="{B4930925-F3CC-EA4F-B842-CD612D2F43C4}"/>
    <hyperlink ref="H470" r:id="rId394" location="Aseeseen_keskittyminen_[yleis]" xr:uid="{9E1C969B-554C-F244-9373-9328DB649356}"/>
    <hyperlink ref="H464" r:id="rId395" location="Aseeseen_keskittyminen_[yleis]" xr:uid="{564EF97B-C2BF-DF46-AD1E-23C3E9FB91FC}"/>
    <hyperlink ref="H458" r:id="rId396" location="Aseeseen_keskittyminen_[yleis]" xr:uid="{0750C139-A57D-E842-9DB5-9C43E3DFF0A4}"/>
    <hyperlink ref="H452" r:id="rId397" location="Aseeseen_keskittyminen_[yleis]" xr:uid="{47C2953F-498C-0549-B56B-3B9914622CFD}"/>
    <hyperlink ref="H446" r:id="rId398" location="Aseeseen_keskittyminen_[yleis]" xr:uid="{34F198E2-F0FE-C348-AB51-D21E036FD3BD}"/>
    <hyperlink ref="H440" r:id="rId399" location="Aseeseen_keskittyminen_[yleis]" xr:uid="{B7CD0E39-BBB5-0541-906A-13EBA2D52D02}"/>
    <hyperlink ref="H434" r:id="rId400" location="Aseeseen_keskittyminen_[yleis]" xr:uid="{5FF11DFE-CD75-D444-A9F5-D27B5583AACF}"/>
    <hyperlink ref="H428" r:id="rId401" location="Aseeseen_keskittyminen_[yleis]" xr:uid="{42C42CC8-6F58-A249-9250-5A7E59B9A883}"/>
    <hyperlink ref="H422" r:id="rId402" location="Aseeseen_keskittyminen_[yleis]" xr:uid="{0958731E-E9AC-9048-BE6E-1420C23AD377}"/>
    <hyperlink ref="H416" r:id="rId403" location="Aseeseen_keskittyminen_[yleis]" xr:uid="{66D69014-5B98-A64D-86AE-2592C7157CD7}"/>
    <hyperlink ref="H410" r:id="rId404" location="Aseeseen_keskittyminen_[yleis]" xr:uid="{E5E906B6-AE59-9742-8A74-21E3795390F2}"/>
    <hyperlink ref="H404" r:id="rId405" location="Aseeseen_keskittyminen_[yleis]" xr:uid="{9502D11F-AE5B-6A4F-B18B-39C8F0A1338D}"/>
    <hyperlink ref="H394" r:id="rId406" location="Aseeseen_keskittyminen_[yleis]" xr:uid="{2BB99FB2-E24E-D543-BF53-DF2EF08583B7}"/>
    <hyperlink ref="H386" r:id="rId407" location="Aseeseen_keskittyminen_[yleis]" xr:uid="{1BDEA849-F394-5240-B8F1-4678E82EE837}"/>
    <hyperlink ref="H378" r:id="rId408" location="Aseeseen_keskittyminen_[yleis]" xr:uid="{517BA0AC-8A15-5D49-A848-DE98A8E6D410}"/>
    <hyperlink ref="H370" r:id="rId409" location="Aseeseen_keskittyminen_[yleis]" xr:uid="{98874F3B-36DB-1140-8EFB-6474D0DA6BA9}"/>
    <hyperlink ref="H362" r:id="rId410" location="Aseeseen_keskittyminen_[yleis]" xr:uid="{C38C6E3B-326E-8C4B-87FF-D33585F01336}"/>
    <hyperlink ref="H354" r:id="rId411" location="Aseeseen_keskittyminen_[yleis]" xr:uid="{68B0A20A-86DF-8845-A456-172A03C505D1}"/>
    <hyperlink ref="H346" r:id="rId412" location="Aseeseen_keskittyminen_[yleis]" xr:uid="{D7138336-F0E2-6D47-A6D0-B864E18260AC}"/>
    <hyperlink ref="H338" r:id="rId413" location="Aseeseen_keskittyminen_[yleis]" xr:uid="{E0C37139-4339-104E-987D-932BC2417C31}"/>
    <hyperlink ref="H314" r:id="rId414" location="Aseeseen_keskittyminen_[yleis]" xr:uid="{1F1F34EB-E6C6-7242-931E-A842C824AD6E}"/>
    <hyperlink ref="H306" r:id="rId415" location="Aseeseen_keskittyminen_[yleis]" xr:uid="{C712CF1A-0AD3-5C47-B009-5F44DE6E92E2}"/>
    <hyperlink ref="H298" r:id="rId416" location="Aseeseen_keskittyminen_[yleis]" xr:uid="{9930F237-C168-9C42-A76A-16A13853C94B}"/>
    <hyperlink ref="H284" r:id="rId417" location="Aseeseen_keskittyminen_[yleis]" xr:uid="{B99DBB24-C514-9A49-AD7F-9221FAC354CE}"/>
    <hyperlink ref="H276" r:id="rId418" location="Aseeseen_keskittyminen_[yleis]" xr:uid="{B7F36C56-F29A-FC45-975F-D1A9FAC9B252}"/>
    <hyperlink ref="H268" r:id="rId419" location="Aseeseen_keskittyminen_[yleis]" xr:uid="{2C63562B-EAC6-7A4B-AFA5-99DB253A4D3D}"/>
    <hyperlink ref="H254" r:id="rId420" location="Aseeseen_keskittyminen_[yleis]" xr:uid="{9F26DFE7-31F4-F549-B084-7CB7D9917D60}"/>
    <hyperlink ref="H240" r:id="rId421" location="Aseeseen_keskittyminen_[yleis]" xr:uid="{9CD0B33D-3B52-D048-8979-86747B3C47BE}"/>
    <hyperlink ref="H226" r:id="rId422" location="Aseeseen_keskittyminen_[yleis]" xr:uid="{3EDDE057-1F5C-EA48-8AA5-1E742E4C7A77}"/>
    <hyperlink ref="H218" r:id="rId423" location="Aseeseen_keskittyminen_[yleis]" xr:uid="{C9B47BAF-A530-9A47-9BEF-894E48B6D74E}"/>
    <hyperlink ref="H204" r:id="rId424" location="Aseeseen_keskittyminen_[yleis]" xr:uid="{161191A6-1380-6848-988A-E8692885A7BD}"/>
    <hyperlink ref="I204" r:id="rId425" location="Aseeseen_erikoistuminen_[yleis]" xr:uid="{A33D5759-962B-8B44-BB4D-941F869A8087}"/>
    <hyperlink ref="I218" r:id="rId426" location="Aseeseen_erikoistuminen_[yleis]" xr:uid="{AC04A5EC-7ACE-6749-B8AC-039D1BCE7CAD}"/>
    <hyperlink ref="I226" r:id="rId427" location="Aseeseen_erikoistuminen_[yleis]" xr:uid="{32ADBD83-914A-9F45-B11A-4E9CE765642D}"/>
    <hyperlink ref="I240" r:id="rId428" location="Aseeseen_erikoistuminen_[yleis]" xr:uid="{568173A1-6FB0-C648-9A3B-57AEF56B43B5}"/>
    <hyperlink ref="I254" r:id="rId429" location="Aseeseen_erikoistuminen_[yleis]" xr:uid="{54C1954E-FAA4-2849-808D-601C5D245EFA}"/>
    <hyperlink ref="I268" r:id="rId430" location="Aseeseen_erikoistuminen_[yleis]" xr:uid="{72EA3E49-75E1-8B4F-821C-1E120066ADF8}"/>
    <hyperlink ref="I276" r:id="rId431" location="Aseeseen_erikoistuminen_[yleis]" xr:uid="{C297C66F-DA15-1C42-A766-D5A4893EE05C}"/>
    <hyperlink ref="I284" r:id="rId432" location="Aseeseen_erikoistuminen_[yleis]" xr:uid="{FAD1E486-A8AE-5943-A9C0-571252ED091B}"/>
    <hyperlink ref="I298" r:id="rId433" location="Aseeseen_erikoistuminen_[yleis]" xr:uid="{C31183FA-3A3F-4A40-9533-ECFC252DC67B}"/>
    <hyperlink ref="I314" r:id="rId434" location="Aseeseen_erikoistuminen_[yleis]" xr:uid="{5DADCC36-18D0-8044-9EA2-C4CD6A45453E}"/>
    <hyperlink ref="I322" r:id="rId435" location="Aseeseen_erikoistuminen_[yleis]" xr:uid="{EE859CAB-272A-6941-83F8-400D96B185F5}"/>
    <hyperlink ref="I330" r:id="rId436" location="Aseeseen_erikoistuminen_[yleis]" xr:uid="{E5CAE91B-1229-5E41-8332-3D67EE2270F5}"/>
    <hyperlink ref="H330" r:id="rId437" location="Aseeseen_keskittyminen_[yleis]" xr:uid="{E662872A-1A63-F74E-9020-41CC3F8509B5}"/>
    <hyperlink ref="H322" r:id="rId438" location="Aseeseen_keskittyminen_[yleis]" xr:uid="{CA828812-DC62-A848-8530-6FE2AC444662}"/>
    <hyperlink ref="I338" r:id="rId439" location="Aseeseen_erikoistuminen_[yleis]" xr:uid="{AF7A4191-DD3A-7948-BF3A-AA2C4EA8DFD2}"/>
    <hyperlink ref="I346" r:id="rId440" location="Aseeseen_erikoistuminen_[yleis]" xr:uid="{7F459438-EBA7-B245-AF5D-31CEC6D7FBF3}"/>
    <hyperlink ref="I354" r:id="rId441" location="Aseeseen_erikoistuminen_[yleis]" xr:uid="{D65A2E8E-8947-2840-8F67-36E4C4B9251F}"/>
    <hyperlink ref="I362" r:id="rId442" location="Aseeseen_erikoistuminen_[yleis]" xr:uid="{C5278B1A-687C-4049-98FF-35D4CD3860AE}"/>
    <hyperlink ref="I370" r:id="rId443" location="Aseeseen_erikoistuminen_[yleis]" xr:uid="{08DFAF10-5CA8-1747-BE2D-7204DF14DFFF}"/>
    <hyperlink ref="I378" r:id="rId444" location="Aseeseen_erikoistuminen_[yleis]" xr:uid="{853433FE-2F8C-3A48-8B01-4860DD096BAB}"/>
    <hyperlink ref="I386" r:id="rId445" location="Aseeseen_erikoistuminen_[yleis]" xr:uid="{2F14D12C-8AAC-D643-9B6B-E7F077530D70}"/>
    <hyperlink ref="I394" r:id="rId446" location="Aseeseen_erikoistuminen_[yleis]" xr:uid="{7FDF0CD4-9670-6940-8526-BF001D70598E}"/>
    <hyperlink ref="I404" r:id="rId447" location="Aseeseen_erikoistuminen_[yleis]" xr:uid="{E078FBB3-CA86-8C43-9D99-EE6D2564215C}"/>
    <hyperlink ref="I410" r:id="rId448" location="Aseeseen_erikoistuminen_[yleis]" xr:uid="{09D71A30-DBAF-D842-8C83-59AEBF9F37D1}"/>
    <hyperlink ref="I416" r:id="rId449" location="Aseeseen_erikoistuminen_[yleis]" xr:uid="{F560AE4A-E97E-674E-9286-02139B617571}"/>
    <hyperlink ref="I422" r:id="rId450" location="Aseeseen_erikoistuminen_[yleis]" xr:uid="{99746849-F873-0E44-9AE4-6CED39A6534F}"/>
    <hyperlink ref="I428" r:id="rId451" location="Aseeseen_erikoistuminen_[yleis]" xr:uid="{903E184A-52C2-7145-A502-A8132D021ACC}"/>
    <hyperlink ref="I434" r:id="rId452" location="Aseeseen_erikoistuminen_[yleis]" xr:uid="{9A09036A-7FCE-6A44-8C92-AB6EC40ECB7D}"/>
    <hyperlink ref="I440" r:id="rId453" location="Aseeseen_erikoistuminen_[yleis]" xr:uid="{B3E3BB90-17EE-3248-9F8C-4538A583ED90}"/>
    <hyperlink ref="I446" r:id="rId454" location="Aseeseen_erikoistuminen_[yleis]" xr:uid="{F28BA3D6-10A5-1241-B134-D9C00993CBB1}"/>
    <hyperlink ref="I452" r:id="rId455" location="Aseeseen_erikoistuminen_[yleis]" xr:uid="{E4591864-DC2A-D240-9AC9-5CF95AE69A79}"/>
    <hyperlink ref="I458" r:id="rId456" location="Aseeseen_erikoistuminen_[yleis]" xr:uid="{22307EFF-F177-6344-87D2-01ABD08A7BE9}"/>
    <hyperlink ref="I464" r:id="rId457" location="Aseeseen_erikoistuminen_[yleis]" xr:uid="{62080111-F461-D54A-B083-791858FF7FBB}"/>
    <hyperlink ref="I470" r:id="rId458" location="Aseeseen_erikoistuminen_[yleis]" xr:uid="{7C2A98E9-079D-944C-B28B-F35D6D8AB8E6}"/>
    <hyperlink ref="I476" r:id="rId459" location="Aseeseen_erikoistuminen_[yleis]" xr:uid="{C93CDC79-6919-6F4A-B340-64C123ED641C}"/>
    <hyperlink ref="I488" r:id="rId460" location="Aseeseen_erikoistuminen_[yleis]" xr:uid="{1BBEA23C-8A34-1F4C-A938-DFAD4CFA6B66}"/>
    <hyperlink ref="I494" r:id="rId461" location="Aseeseen_erikoistuminen_[yleis]" xr:uid="{5BECBEFB-C080-4742-9442-2D533920BBD6}"/>
    <hyperlink ref="I500" r:id="rId462" location="Aseeseen_erikoistuminen_[yleis]" xr:uid="{B3D057F2-8601-AD44-AC03-993B29B78B51}"/>
    <hyperlink ref="I514" r:id="rId463" location="Aseeseen_erikoistuminen_[yleis]" xr:uid="{12E765C1-EC66-D340-A12D-89F8EAAD3BC0}"/>
    <hyperlink ref="I520" r:id="rId464" location="Aseeseen_erikoistuminen_[yleis]" xr:uid="{460F44E9-B03B-A245-BC0C-E1088B10983E}"/>
    <hyperlink ref="I526" r:id="rId465" location="Aseeseen_erikoistuminen_[yleis]" xr:uid="{A0DD926D-3E00-2344-A561-8D04CAD3A088}"/>
    <hyperlink ref="I532" r:id="rId466" location="Aseeseen_erikoistuminen_[yleis]" xr:uid="{4941D345-F073-8546-A7C9-2EF454FB38C2}"/>
    <hyperlink ref="I538" r:id="rId467" location="Aseeseen_erikoistuminen_[yleis]" xr:uid="{3A68CD4F-9C07-9C4B-A48A-D00026904041}"/>
    <hyperlink ref="I544" r:id="rId468" location="Aseeseen_erikoistuminen_[yleis]" xr:uid="{71542DD0-E2DE-F749-8F90-98A906B713B9}"/>
    <hyperlink ref="I554" r:id="rId469" location="Aseeseen_erikoistuminen_[yleis]" xr:uid="{C6DC85D2-F4BA-0F45-8AD2-CC92D15EB73B}"/>
    <hyperlink ref="I560" r:id="rId470" location="Aseeseen_erikoistuminen_[yleis]" xr:uid="{D6A392DD-B1DD-E843-8FAF-C0C98427ACF8}"/>
    <hyperlink ref="I568" r:id="rId471" location="Aseeseen_erikoistuminen_[yleis]" xr:uid="{05A8D582-3F56-A44B-8466-0A32DFAF3F4B}"/>
    <hyperlink ref="I574" r:id="rId472" location="Aseeseen_erikoistuminen_[yleis]" xr:uid="{BDFEE045-37C2-4242-85AD-8F5C442D0FEE}"/>
    <hyperlink ref="I580" r:id="rId473" location="Aseeseen_erikoistuminen_[yleis]" xr:uid="{E27FB826-7134-4D41-BCBA-6EAE20D6291C}"/>
    <hyperlink ref="I586" r:id="rId474" location="Aseeseen_erikoistuminen_[yleis]" xr:uid="{DEF6924E-C34B-3F47-9F65-8EB747740B37}"/>
    <hyperlink ref="I592" r:id="rId475" location="Aseeseen_erikoistuminen_[yleis]" xr:uid="{61F96F82-F1EF-4340-B3F5-F73830329DD3}"/>
    <hyperlink ref="I598" r:id="rId476" location="Aseeseen_erikoistuminen_[yleis]" xr:uid="{B5A29626-7BBB-BA44-8F12-32AC25F0FFD3}"/>
    <hyperlink ref="I612" r:id="rId477" location="Aseeseen_erikoistuminen_[yleis]" xr:uid="{51D6CD71-00E4-9948-A848-9B5BFB9D86F2}"/>
    <hyperlink ref="I618" r:id="rId478" location="Aseeseen_erikoistuminen_[yleis]" xr:uid="{A006BD55-EE0A-5C45-945F-E37E9CB6240C}"/>
    <hyperlink ref="I624" r:id="rId479" location="Aseeseen_erikoistuminen_[yleis]" xr:uid="{37F3C7F8-9EC9-E04F-B3A1-D2E737F6A2A4}"/>
    <hyperlink ref="I630" r:id="rId480" location="Aseeseen_erikoistuminen_[yleis]" xr:uid="{6A5F6277-5F7D-8B4A-A55B-BE06750D8731}"/>
    <hyperlink ref="I636" r:id="rId481" location="Aseeseen_erikoistuminen_[yleis]" xr:uid="{869D5EF7-8225-6D49-9F14-36A3F0FD43D7}"/>
    <hyperlink ref="I642" r:id="rId482" location="Aseeseen_erikoistuminen_[yleis]" xr:uid="{1CB56D31-1CAA-4849-A691-586D3FD9F07C}"/>
    <hyperlink ref="I652" r:id="rId483" location="Aseeseen_erikoistuminen_[yleis]" xr:uid="{0DB55592-2010-DA47-B1B6-C283B37229C5}"/>
    <hyperlink ref="I660" r:id="rId484" location="Aseeseen_erikoistuminen_[yleis]" xr:uid="{7FA00480-4D5E-454B-B71F-CCD856911C06}"/>
    <hyperlink ref="I668" r:id="rId485" location="Aseeseen_erikoistuminen_[yleis]" xr:uid="{47FBD391-6EDC-F843-B901-F6C73F247889}"/>
    <hyperlink ref="I676" r:id="rId486" location="Aseeseen_erikoistuminen_[yleis]" xr:uid="{0AB75286-71AE-4E43-AF10-36A3EF15BC7A}"/>
    <hyperlink ref="I694" r:id="rId487" location="Aseeseen_erikoistuminen_[yleis]" xr:uid="{54CBDC6C-E6FF-1B42-B176-4319E64689C8}"/>
    <hyperlink ref="I707" r:id="rId488" location="Aseeseen_erikoistuminen_[yleis]" xr:uid="{E05762B6-0029-7043-ABAD-E0E5D0FB63BC}"/>
    <hyperlink ref="I720" r:id="rId489" location="Aseeseen_erikoistuminen_[yleis]" xr:uid="{44AB78F2-3A1A-D54C-9B45-BE0E9D1A1BE0}"/>
    <hyperlink ref="I733" r:id="rId490" location="Aseeseen_erikoistuminen_[yleis]" xr:uid="{9003AE3C-D1B9-ED41-83B7-63099804D59B}"/>
    <hyperlink ref="I746" r:id="rId491" location="Aseeseen_erikoistuminen_[yleis]" xr:uid="{123A15A7-CFB2-ED4A-8315-FAD74219E9ED}"/>
    <hyperlink ref="I759" r:id="rId492" location="Aseeseen_erikoistuminen_[yleis]" xr:uid="{7A64F1F7-A813-AC44-B140-D5343949CB3E}"/>
    <hyperlink ref="I772" r:id="rId493" location="Aseeseen_erikoistuminen_[yleis]" xr:uid="{7597438F-4EB4-AA4B-A015-4AFBDAD379B7}"/>
    <hyperlink ref="I785" r:id="rId494" location="Aseeseen_erikoistuminen_[yleis]" xr:uid="{EC143AAA-AF13-C444-BADC-CE13B768EE15}"/>
    <hyperlink ref="I798" r:id="rId495" location="Aseeseen_erikoistuminen_[yleis]" xr:uid="{3CA3E543-E725-404A-9897-CB4776D63062}"/>
    <hyperlink ref="I811" r:id="rId496" location="Aseeseen_erikoistuminen_[yleis]" xr:uid="{3405473B-AB62-444B-9989-BFC889C10209}"/>
    <hyperlink ref="I832" r:id="rId497" location="Aseeseen_erikoistuminen_[yleis]" xr:uid="{93B4B8B1-9C68-004F-A152-FE594D74F985}"/>
    <hyperlink ref="I838" r:id="rId498" location="Aseeseen_erikoistuminen_[yleis]" xr:uid="{D7C6CB6A-29FF-8F48-98BB-BD0FC58A112F}"/>
    <hyperlink ref="I844" r:id="rId499" location="Aseeseen_erikoistuminen_[yleis]" xr:uid="{64E71580-B4D7-464A-8B71-7A33761458D1}"/>
    <hyperlink ref="J844" r:id="rId500" location="Vahva_aseeseen_keskittyminen_[yleis]" xr:uid="{EA05851C-6B4B-0049-A27D-0EC0E77D736C}"/>
    <hyperlink ref="J838" r:id="rId501" location="Vahva_aseeseen_keskittyminen_[yleis]" xr:uid="{18AEF976-0090-D84F-9B25-71E498B8D9C4}"/>
    <hyperlink ref="J832" r:id="rId502" location="Vahva_aseeseen_keskittyminen_[yleis]" xr:uid="{367E8137-DA19-C447-B7D4-9AF65F3E01F4}"/>
    <hyperlink ref="J811" r:id="rId503" location="Vahva_aseeseen_keskittyminen_[yleis]" xr:uid="{7887EC82-195B-E34A-A6C3-A8B68798BD91}"/>
    <hyperlink ref="J798" r:id="rId504" location="Vahva_aseeseen_keskittyminen_[yleis]" xr:uid="{60E0EE8A-5539-A945-AC18-D8603FD5A229}"/>
    <hyperlink ref="J785" r:id="rId505" location="Vahva_aseeseen_keskittyminen_[yleis]" xr:uid="{BF1AC5A0-FCEB-FE4D-9989-F0FF3EE9091A}"/>
    <hyperlink ref="J772" r:id="rId506" location="Vahva_aseeseen_keskittyminen_[yleis]" xr:uid="{9C6B34F5-FD7C-1544-8D0F-1CC9A1D61477}"/>
    <hyperlink ref="J759" r:id="rId507" location="Vahva_aseeseen_keskittyminen_[yleis]" xr:uid="{0EF45CC6-31F7-2441-8462-E7386B797F39}"/>
    <hyperlink ref="J746" r:id="rId508" location="Vahva_aseeseen_keskittyminen_[yleis]" xr:uid="{41AD7D1E-95A6-C441-8156-242A87E9DFF8}"/>
    <hyperlink ref="J733" r:id="rId509" location="Vahva_aseeseen_keskittyminen_[yleis]" xr:uid="{8C53AC9C-2E35-F44C-BEF0-59D80BD2337C}"/>
    <hyperlink ref="J720" r:id="rId510" location="Vahva_aseeseen_keskittyminen_[yleis]" xr:uid="{FD52FE24-9E2C-6941-B803-2C5B0E6B1F1C}"/>
    <hyperlink ref="J707" r:id="rId511" location="Vahva_aseeseen_keskittyminen_[yleis]" xr:uid="{3226659B-9153-6741-8EF7-A0C5702BC3ED}"/>
    <hyperlink ref="J694" r:id="rId512" location="Vahva_aseeseen_keskittyminen_[yleis]" xr:uid="{8CF33276-67A4-DA40-BDBE-DB3DB3B40619}"/>
    <hyperlink ref="J676" r:id="rId513" location="Vahva_aseeseen_keskittyminen_[yleis]" xr:uid="{3DB02520-B5FA-8F48-A36D-A2891E198E06}"/>
    <hyperlink ref="I684" r:id="rId514" location="Vahva_aseeseen_keskittyminen_[yleis]" xr:uid="{096A6F9A-0F89-5341-88E7-9FCA79453267}"/>
    <hyperlink ref="J668" r:id="rId515" location="Vahva_aseeseen_keskittyminen_[yleis]" xr:uid="{07068A69-5C96-A54A-B0D3-C263A0E08AB1}"/>
    <hyperlink ref="J660" r:id="rId516" location="Vahva_aseeseen_keskittyminen_[yleis]" xr:uid="{569173FB-6D40-0B4E-BE8B-AAEBEFB2C0AF}"/>
    <hyperlink ref="J652" r:id="rId517" location="Vahva_aseeseen_keskittyminen_[yleis]" xr:uid="{EC6A5DAE-1F3D-0247-8451-A71693F095F5}"/>
    <hyperlink ref="J642" r:id="rId518" location="Vahva_aseeseen_keskittyminen_[yleis]" xr:uid="{1798550E-A240-1B40-95CC-AE266A3A14E4}"/>
    <hyperlink ref="J630" r:id="rId519" location="Vahva_aseeseen_keskittyminen_[yleis]" xr:uid="{C06B4E0E-B740-4A4E-A3FD-DE21CFCB9D73}"/>
    <hyperlink ref="J624" r:id="rId520" location="Vahva_aseeseen_keskittyminen_[yleis]" xr:uid="{A5457E0F-D7AA-FD49-9D5B-9C1856DBA2DA}"/>
    <hyperlink ref="J618" r:id="rId521" location="Vahva_aseeseen_keskittyminen_[yleis]" xr:uid="{031C61AC-EC08-0842-A281-469300E259D9}"/>
    <hyperlink ref="J612" r:id="rId522" location="Vahva_aseeseen_keskittyminen_[yleis]" xr:uid="{79BE4854-C122-BE46-ACA3-FA1DF5EC05CB}"/>
    <hyperlink ref="J606" r:id="rId523" location="Vahva_aseeseen_keskittyminen_[yleis]" xr:uid="{4CB75A3F-8A44-FA40-9378-D0A71AB2C3AD}"/>
    <hyperlink ref="J598" r:id="rId524" location="Vahva_aseeseen_keskittyminen_[yleis]" xr:uid="{A11074A7-D8ED-3E42-96F6-920531ED9A46}"/>
    <hyperlink ref="J592" r:id="rId525" location="Vahva_aseeseen_keskittyminen_[yleis]" xr:uid="{2D606908-6362-9C4E-A03B-2355F7DD3ADE}"/>
    <hyperlink ref="J586" r:id="rId526" location="Vahva_aseeseen_keskittyminen_[yleis]" xr:uid="{20516419-5C29-D842-BD90-906CB66D41A2}"/>
    <hyperlink ref="J580" r:id="rId527" location="Vahva_aseeseen_keskittyminen_[yleis]" xr:uid="{1BFB3010-988B-8548-8CFC-0AF022C9E7EE}"/>
    <hyperlink ref="J574" r:id="rId528" location="Vahva_aseeseen_keskittyminen_[yleis]" xr:uid="{DDA5D69E-8EEF-B348-8991-52290E5BE54E}"/>
    <hyperlink ref="J568" r:id="rId529" location="Vahva_aseeseen_keskittyminen_[yleis]" xr:uid="{DE02BB4C-DAF1-7549-96EA-78D4894E781F}"/>
    <hyperlink ref="J560" r:id="rId530" location="Vahva_aseeseen_keskittyminen_[yleis]" xr:uid="{8D1E5CCC-8324-0843-ADD2-5BF8970DAFD1}"/>
    <hyperlink ref="J554" r:id="rId531" location="Vahva_aseeseen_keskittyminen_[yleis]" xr:uid="{4C328A39-684B-CD42-B68E-F2CAECAE93E7}"/>
    <hyperlink ref="J544" r:id="rId532" location="Vahva_aseeseen_keskittyminen_[yleis]" xr:uid="{B0D2ACDD-4DC6-1847-B333-F6222FB97310}"/>
    <hyperlink ref="J538" r:id="rId533" location="Vahva_aseeseen_keskittyminen_[yleis]" xr:uid="{289D19AD-C275-2944-9815-A8805F2B7D0D}"/>
    <hyperlink ref="J532" r:id="rId534" location="Vahva_aseeseen_keskittyminen_[yleis]" xr:uid="{5F50C1A5-F334-3142-A07A-B072F7BCF4A5}"/>
    <hyperlink ref="J526" r:id="rId535" location="Vahva_aseeseen_keskittyminen_[yleis]" xr:uid="{2A866805-04B5-464E-BCFA-9F352D167D84}"/>
    <hyperlink ref="J520" r:id="rId536" location="Vahva_aseeseen_keskittyminen_[yleis]" xr:uid="{7069F72B-0F31-7544-9EC5-B41729BBD71B}"/>
    <hyperlink ref="J514" r:id="rId537" location="Vahva_aseeseen_keskittyminen_[yleis]" xr:uid="{0BEE035C-2134-D349-AD62-338DB7740946}"/>
    <hyperlink ref="J500" r:id="rId538" location="Vahva_aseeseen_keskittyminen_[yleis]" xr:uid="{08A7744F-0DF6-CE41-A766-1D9D2B540278}"/>
    <hyperlink ref="J494" r:id="rId539" location="Vahva_aseeseen_keskittyminen_[yleis]" xr:uid="{69AED85B-94E0-C246-8675-FBDD54028152}"/>
    <hyperlink ref="J488" r:id="rId540" location="Vahva_aseeseen_keskittyminen_[yleis]" xr:uid="{2BBFBF72-41B2-0E41-8B20-42EAEF37BA76}"/>
    <hyperlink ref="J476" r:id="rId541" location="Vahva_aseeseen_keskittyminen_[yleis]" xr:uid="{41F47AEA-8769-C240-9277-7F9857E9F6A3}"/>
    <hyperlink ref="J470" r:id="rId542" location="Vahva_aseeseen_keskittyminen_[yleis]" xr:uid="{A68A9BF7-98CC-5846-8FC9-44FBFFB72984}"/>
    <hyperlink ref="J464" r:id="rId543" location="Vahva_aseeseen_keskittyminen_[yleis]" xr:uid="{44DA49A8-E075-DA41-A9A1-850CC00868F0}"/>
    <hyperlink ref="J458" r:id="rId544" location="Vahva_aseeseen_keskittyminen_[yleis]" xr:uid="{96FDE88A-EDE6-954A-8E21-8003C59855B4}"/>
    <hyperlink ref="J452" r:id="rId545" location="Vahva_aseeseen_keskittyminen_[yleis]" xr:uid="{8AE033A3-B44F-944F-BA90-27CC07146E4F}"/>
    <hyperlink ref="J446" r:id="rId546" location="Vahva_aseeseen_keskittyminen_[yleis]" xr:uid="{516FB2A5-8C0D-1C40-99B2-F6688A535D5F}"/>
    <hyperlink ref="J440" r:id="rId547" location="Vahva_aseeseen_keskittyminen_[yleis]" xr:uid="{9F8B0C56-DEC1-9346-8D28-02F8789065D3}"/>
    <hyperlink ref="J434" r:id="rId548" location="Vahva_aseeseen_keskittyminen_[yleis]" xr:uid="{AA1BB49D-9C7F-4C40-8F31-7E56FBAF30FB}"/>
    <hyperlink ref="J428" r:id="rId549" location="Vahva_aseeseen_keskittyminen_[yleis]" xr:uid="{7C769D43-4265-3A46-B7E5-5AD297435D7D}"/>
    <hyperlink ref="J422" r:id="rId550" location="Vahva_aseeseen_keskittyminen_[yleis]" xr:uid="{ED34C608-4BDC-0644-820C-71258EF707FD}"/>
    <hyperlink ref="J416" r:id="rId551" location="Vahva_aseeseen_keskittyminen_[yleis]" xr:uid="{E2151BEF-41B5-224C-A16B-14CD4D433C0D}"/>
    <hyperlink ref="J410" r:id="rId552" location="Vahva_aseeseen_keskittyminen_[yleis]" xr:uid="{C84CB406-FE3D-3F43-B940-EE9D2B844740}"/>
    <hyperlink ref="J404" r:id="rId553" location="Vahva_aseeseen_keskittyminen_[yleis]" xr:uid="{DBCC4120-6072-7D4F-ACBB-43F6939AFBD7}"/>
    <hyperlink ref="J394" r:id="rId554" location="Vahva_aseeseen_keskittyminen_[yleis]" xr:uid="{34D611A0-3C74-C140-B7F9-E4793C4DD481}"/>
    <hyperlink ref="J386" r:id="rId555" location="Vahva_aseeseen_keskittyminen_[yleis]" xr:uid="{076F059A-6F04-B344-BD9E-DA57F6B712FA}"/>
    <hyperlink ref="J378" r:id="rId556" location="Vahva_aseeseen_keskittyminen_[yleis]" xr:uid="{5EAF781E-DA8C-5E47-9D7A-024260FEC6DD}"/>
    <hyperlink ref="J370" r:id="rId557" location="Vahva_aseeseen_keskittyminen_[yleis]" xr:uid="{358DB0C7-3F07-9E40-83AC-D80DE7DEFE74}"/>
    <hyperlink ref="J362" r:id="rId558" location="Vahva_aseeseen_keskittyminen_[yleis]" xr:uid="{01F0D7CD-AA02-2349-885B-E153350718C9}"/>
    <hyperlink ref="J354" r:id="rId559" location="Vahva_aseeseen_keskittyminen_[yleis]" xr:uid="{184AD6A9-4874-2042-9F32-3E9750EA8EAC}"/>
    <hyperlink ref="J346" r:id="rId560" location="Vahva_aseeseen_keskittyminen_[yleis]" xr:uid="{363EB4F1-12AC-0C4D-B177-C6BE2AD429EE}"/>
    <hyperlink ref="J338" r:id="rId561" location="Vahva_aseeseen_keskittyminen_[yleis]" xr:uid="{35D8B856-90F6-9747-8F99-979B1040ECFD}"/>
    <hyperlink ref="J330" r:id="rId562" location="Vahva_aseeseen_keskittyminen_[yleis]" xr:uid="{B118216A-DFD6-2947-B85E-7A4A8E1AA871}"/>
    <hyperlink ref="J322" r:id="rId563" location="Vahva_aseeseen_keskittyminen_[yleis]" xr:uid="{43B19C67-EB22-DA4F-909E-C39A0FDC4631}"/>
    <hyperlink ref="J314" r:id="rId564" location="Vahva_aseeseen_keskittyminen_[yleis]" xr:uid="{2FCFEFA5-ADB7-2A41-8B70-E34A3AE0AE2B}"/>
    <hyperlink ref="J306" r:id="rId565" location="Vahva_aseeseen_keskittyminen_[yleis]" xr:uid="{DCE2201E-ACB8-E34A-AF43-B70EA4BC7786}"/>
    <hyperlink ref="J298" r:id="rId566" location="Vahva_aseeseen_keskittyminen_[yleis]" xr:uid="{F894FCE1-A897-1D48-ACB8-B4CE74A62180}"/>
    <hyperlink ref="J284" r:id="rId567" location="Vahva_aseeseen_keskittyminen_[yleis]" xr:uid="{311263FF-C85D-6144-A6F1-66F116CD6E0A}"/>
    <hyperlink ref="J276" r:id="rId568" location="Vahva_aseeseen_keskittyminen_[yleis]" xr:uid="{1022E4A4-C466-0A44-95B4-8FB3B9588F78}"/>
    <hyperlink ref="J268" r:id="rId569" location="Vahva_aseeseen_keskittyminen_[yleis]" xr:uid="{FAB3CE3E-54CE-D24D-912A-C789AC1A5A4E}"/>
    <hyperlink ref="J254" r:id="rId570" location="Vahva_aseeseen_keskittyminen_[yleis]" xr:uid="{B19867B6-C596-2E43-BADB-D4CD3AB055C7}"/>
    <hyperlink ref="J240" r:id="rId571" location="Vahva_aseeseen_keskittyminen_[yleis]" xr:uid="{408F4917-BA24-F545-8109-A9ABB93824C8}"/>
    <hyperlink ref="J226" r:id="rId572" location="Vahva_aseeseen_keskittyminen_[yleis]" xr:uid="{8A31FD86-3DC8-204E-B6EA-D38382A73435}"/>
    <hyperlink ref="J218" r:id="rId573" location="Vahva_aseeseen_keskittyminen_[yleis]" xr:uid="{152CD199-652D-FF4D-8756-81A9B387A14E}"/>
    <hyperlink ref="J204" r:id="rId574" location="Vahva_aseeseen_keskittyminen_[yleis]" xr:uid="{50299EA8-F9AD-A04C-A451-B6AE4476CAB7}"/>
    <hyperlink ref="K204" r:id="rId575" location="Vahva_aseeseen_erikoistuminen_[yleis]" xr:uid="{344D34AF-3BE0-1843-AA61-5C0EB74566DE}"/>
    <hyperlink ref="K218" r:id="rId576" location="Vahva_aseeseen_erikoistuminen_[yleis]" xr:uid="{E49D46C6-30CD-1347-929F-6DA72542AAE0}"/>
    <hyperlink ref="K226" r:id="rId577" location="Vahva_aseeseen_erikoistuminen_[yleis]" xr:uid="{37BA9C86-9A1B-924C-A1C7-790485025B21}"/>
    <hyperlink ref="K240" r:id="rId578" location="Vahva_aseeseen_erikoistuminen_[yleis]" xr:uid="{BE3BE101-6234-334A-A610-1E800BAF5A39}"/>
    <hyperlink ref="K254" r:id="rId579" location="Vahva_aseeseen_erikoistuminen_[yleis]" xr:uid="{E03CB9F1-345C-2343-BE5D-A575EFD563A4}"/>
    <hyperlink ref="K268" r:id="rId580" location="Vahva_aseeseen_erikoistuminen_[yleis]" xr:uid="{A0676E8D-CE35-E94B-9DC3-566A3E915DDC}"/>
    <hyperlink ref="K276" r:id="rId581" location="Vahva_aseeseen_erikoistuminen_[yleis]" xr:uid="{5DF2EC0D-6533-4A43-988E-C3A36AA89BA8}"/>
    <hyperlink ref="K284" r:id="rId582" location="Vahva_aseeseen_erikoistuminen_[yleis]" xr:uid="{4B9CA9F8-B11C-E142-BC4F-80CC42C87D4C}"/>
    <hyperlink ref="K298" r:id="rId583" location="Vahva_aseeseen_erikoistuminen_[yleis]" xr:uid="{E38D01B5-D296-C14B-8673-E8DC97142E0B}"/>
    <hyperlink ref="K314" r:id="rId584" location="Vahva_aseeseen_erikoistuminen_[yleis]" xr:uid="{B269A081-1730-974B-929F-9736C2089C8D}"/>
    <hyperlink ref="K306" r:id="rId585" location="Vahva_aseeseen_erikoistuminen_[yleis]" xr:uid="{967EBB66-1C32-F74A-ACA5-1D79F0924B3E}"/>
    <hyperlink ref="I306" r:id="rId586" location="Aseeseen_erikoistuminen_[yleis]" xr:uid="{A331D063-F50B-EA41-B676-3A53D3CC2AF9}"/>
    <hyperlink ref="K322" r:id="rId587" location="Vahva_aseeseen_erikoistuminen_[yleis]" xr:uid="{96C53EA0-0FB3-B840-ACF1-322209B840DE}"/>
    <hyperlink ref="K330" r:id="rId588" location="Vahva_aseeseen_erikoistuminen_[yleis]" xr:uid="{2147EB6A-9590-5C42-97DE-0BC60583F997}"/>
    <hyperlink ref="K338" r:id="rId589" location="Vahva_aseeseen_erikoistuminen_[yleis]" xr:uid="{B70F78B5-1605-6F4C-88F4-0CFF9131CCD1}"/>
    <hyperlink ref="K346" r:id="rId590" location="Vahva_aseeseen_erikoistuminen_[yleis]" xr:uid="{683040FC-B86C-A840-A2FD-7E9B47D51E3F}"/>
    <hyperlink ref="K354" r:id="rId591" location="Vahva_aseeseen_erikoistuminen_[yleis]" xr:uid="{81F420CC-1C2C-AE49-83CB-15AB122FB1B3}"/>
    <hyperlink ref="K362" r:id="rId592" location="Vahva_aseeseen_erikoistuminen_[yleis]" xr:uid="{FFAA5624-B879-914E-AB28-7C2B0720ED2C}"/>
    <hyperlink ref="K370" r:id="rId593" location="Vahva_aseeseen_erikoistuminen_[yleis]" xr:uid="{74F6E2BC-AADB-BF4F-93F5-EA2C593C3C51}"/>
    <hyperlink ref="K378" r:id="rId594" location="Vahva_aseeseen_erikoistuminen_[yleis]" xr:uid="{8A3FD862-6BFD-5D45-86E3-8C3572D914BE}"/>
    <hyperlink ref="K386" r:id="rId595" location="Vahva_aseeseen_erikoistuminen_[yleis]" xr:uid="{904502B0-D576-3F45-9185-0124F356370B}"/>
    <hyperlink ref="K394" r:id="rId596" location="Vahva_aseeseen_erikoistuminen_[yleis]" xr:uid="{5A4F56C4-BECD-3941-9FBE-06710618768E}"/>
    <hyperlink ref="K404" r:id="rId597" location="Vahva_aseeseen_erikoistuminen_[yleis]" xr:uid="{887E0B66-686D-044A-86FB-F721F23F4FA4}"/>
    <hyperlink ref="K410" r:id="rId598" location="Vahva_aseeseen_erikoistuminen_[yleis]" xr:uid="{84B7A65D-F0E4-7345-B82D-DC5CF7E474D7}"/>
    <hyperlink ref="K416" r:id="rId599" location="Vahva_aseeseen_erikoistuminen_[yleis]" xr:uid="{1AF8B4B7-1895-F741-976E-F8CAB7BEB9EE}"/>
    <hyperlink ref="K422" r:id="rId600" location="Vahva_aseeseen_erikoistuminen_[yleis]" xr:uid="{3B6CAB50-D106-0D42-A7FF-F47BCEBD3DC4}"/>
    <hyperlink ref="K428" r:id="rId601" location="Vahva_aseeseen_erikoistuminen_[yleis]" xr:uid="{E3BFE548-669D-2A4C-B753-3F6ED5BAE690}"/>
    <hyperlink ref="K434" r:id="rId602" location="Vahva_aseeseen_erikoistuminen_[yleis]" xr:uid="{DDB8DC7C-74AE-CB40-8A17-279E9046CEFB}"/>
    <hyperlink ref="K440" r:id="rId603" location="Vahva_aseeseen_erikoistuminen_[yleis]" xr:uid="{957B885D-92CC-F445-A73B-07047F7692DF}"/>
    <hyperlink ref="K446" r:id="rId604" location="Vahva_aseeseen_erikoistuminen_[yleis]" xr:uid="{35D9B248-6C59-5F41-A2B5-12A316975831}"/>
    <hyperlink ref="K452" r:id="rId605" location="Vahva_aseeseen_erikoistuminen_[yleis]" xr:uid="{B103AE73-FAD0-EB4B-B145-DCFE32AFA009}"/>
    <hyperlink ref="K458" r:id="rId606" location="Vahva_aseeseen_erikoistuminen_[yleis]" xr:uid="{3CA3DFB8-73ED-C041-950C-A7AB24AEDCD0}"/>
    <hyperlink ref="K464" r:id="rId607" location="Vahva_aseeseen_erikoistuminen_[yleis]" xr:uid="{1080BA70-49DE-9E4E-8785-18677CC62AF2}"/>
    <hyperlink ref="K470" r:id="rId608" location="Vahva_aseeseen_erikoistuminen_[yleis]" xr:uid="{793CA68E-D1D5-AC4A-BD6C-652743DDF8BE}"/>
    <hyperlink ref="K476" r:id="rId609" location="Vahva_aseeseen_erikoistuminen_[yleis]" xr:uid="{00E89A6F-6672-9B47-A627-480107287A5F}"/>
    <hyperlink ref="K488" r:id="rId610" location="Vahva_aseeseen_erikoistuminen_[yleis]" xr:uid="{F954EB11-D8FA-0643-8F3E-61C95B626E3A}"/>
    <hyperlink ref="K494" r:id="rId611" location="Vahva_aseeseen_erikoistuminen_[yleis]" xr:uid="{B43FC032-6C05-9D42-891F-1D8F4621760E}"/>
    <hyperlink ref="K500" r:id="rId612" location="Vahva_aseeseen_erikoistuminen_[yleis]" xr:uid="{CE9D0BE1-6F5A-0440-931F-62A45C3C89D4}"/>
    <hyperlink ref="K514" r:id="rId613" location="Vahva_aseeseen_erikoistuminen_[yleis]" xr:uid="{72CBE95A-5D7F-CE4A-9881-F2BE040E7B7D}"/>
    <hyperlink ref="K520" r:id="rId614" location="Vahva_aseeseen_erikoistuminen_[yleis]" xr:uid="{581BA0F4-DDFD-084E-8305-5D712A695243}"/>
    <hyperlink ref="K526" r:id="rId615" location="Vahva_aseeseen_erikoistuminen_[yleis]" xr:uid="{77480158-CAEF-D64B-8D10-441064A55A08}"/>
    <hyperlink ref="K532" r:id="rId616" location="Vahva_aseeseen_erikoistuminen_[yleis]" xr:uid="{4E4DC2A6-1728-A44F-A46D-F04FB3B0F1FB}"/>
    <hyperlink ref="K538" r:id="rId617" location="Vahva_aseeseen_erikoistuminen_[yleis]" xr:uid="{C8EF4C26-2F77-B845-B2BA-2C1CFD74127F}"/>
    <hyperlink ref="K544" r:id="rId618" location="Vahva_aseeseen_erikoistuminen_[yleis]" xr:uid="{B5752024-335B-FF41-B5B0-F7D8995B7090}"/>
    <hyperlink ref="K554" r:id="rId619" location="Vahva_aseeseen_erikoistuminen_[yleis]" xr:uid="{9AEA1365-2E5D-7144-A691-2037719EE2C7}"/>
    <hyperlink ref="K560" r:id="rId620" location="Vahva_aseeseen_erikoistuminen_[yleis]" xr:uid="{F3D4AA27-9756-3A43-A567-7F25E66C44B6}"/>
    <hyperlink ref="K568" r:id="rId621" location="Vahva_aseeseen_erikoistuminen_[yleis]" xr:uid="{02C1FD7C-7CD5-9C43-9875-D749F1BD1B9B}"/>
    <hyperlink ref="K574" r:id="rId622" location="Vahva_aseeseen_erikoistuminen_[yleis]" xr:uid="{99A64E6F-B537-C24A-A721-082BF3F9A3DB}"/>
    <hyperlink ref="K580" r:id="rId623" location="Vahva_aseeseen_erikoistuminen_[yleis]" xr:uid="{46DDCE6B-CB32-364F-8AC5-B15404089C22}"/>
    <hyperlink ref="K586" r:id="rId624" location="Vahva_aseeseen_erikoistuminen_[yleis]" xr:uid="{8DCB7511-B072-A140-9922-A8ACB1D957AB}"/>
    <hyperlink ref="K592" r:id="rId625" location="Vahva_aseeseen_erikoistuminen_[yleis]" xr:uid="{0F95E64D-25F1-A240-88E6-DEDBDD88E6DF}"/>
    <hyperlink ref="K612" r:id="rId626" location="Vahva_aseeseen_erikoistuminen_[yleis]" xr:uid="{93C42A32-59FF-FB40-B7EA-4440C0EAC7D4}"/>
    <hyperlink ref="K618" r:id="rId627" location="Vahva_aseeseen_erikoistuminen_[yleis]" xr:uid="{CAF8F35D-A5F7-B146-A800-F9068BB8AA62}"/>
    <hyperlink ref="K624" r:id="rId628" location="Vahva_aseeseen_erikoistuminen_[yleis]" xr:uid="{527EA06F-DCA9-C34D-A5D1-53E29C2EEBB1}"/>
    <hyperlink ref="K630" r:id="rId629" location="Vahva_aseeseen_erikoistuminen_[yleis]" xr:uid="{E2A91B5E-9551-414B-BAB4-997483B0A8F3}"/>
    <hyperlink ref="K636" r:id="rId630" location="Vahva_aseeseen_erikoistuminen_[yleis]" xr:uid="{800BAF49-1992-D34A-8FF9-B335EEDC0C63}"/>
    <hyperlink ref="K642" r:id="rId631" location="Vahva_aseeseen_erikoistuminen_[yleis]" xr:uid="{87667D5F-EFBF-D34D-A543-A25D7352730C}"/>
    <hyperlink ref="K652" r:id="rId632" location="Vahva_aseeseen_erikoistuminen_[yleis]" xr:uid="{E0BF96C6-3FD1-DE4E-9E4C-AE4A83D8DB20}"/>
    <hyperlink ref="K660" r:id="rId633" location="Vahva_aseeseen_erikoistuminen_[yleis]" xr:uid="{334315F9-C24B-8F4F-9E5B-E1539AA8EFD4}"/>
    <hyperlink ref="K668" r:id="rId634" location="Vahva_aseeseen_erikoistuminen_[yleis]" xr:uid="{45D4F8AC-669F-CF4E-A0D1-581253F73220}"/>
    <hyperlink ref="K676" r:id="rId635" location="Vahva_aseeseen_erikoistuminen_[yleis]" xr:uid="{49CCA113-70A9-9048-8495-5A96DF252148}"/>
    <hyperlink ref="K694" r:id="rId636" location="Vahva_aseeseen_erikoistuminen_[yleis]" xr:uid="{C5616B76-2366-D445-B795-AAF7F3FBB5D1}"/>
    <hyperlink ref="K707" r:id="rId637" location="Vahva_aseeseen_erikoistuminen_[yleis]" xr:uid="{5E03D6A5-9E0B-4F47-8B48-C71EDD2D6051}"/>
    <hyperlink ref="K720" r:id="rId638" location="Vahva_aseeseen_erikoistuminen_[yleis]" xr:uid="{B0BC24E8-9698-9E46-B5E6-BE25EAC84548}"/>
    <hyperlink ref="K733" r:id="rId639" location="Vahva_aseeseen_erikoistuminen_[yleis]" xr:uid="{CE32FFC3-1DA1-D84A-B4CA-0610B281FB0D}"/>
    <hyperlink ref="K746" r:id="rId640" location="Vahva_aseeseen_erikoistuminen_[yleis]" xr:uid="{A7933124-3C5C-3D43-88E9-FCF5AD7D783A}"/>
    <hyperlink ref="K759" r:id="rId641" location="Vahva_aseeseen_erikoistuminen_[yleis]" xr:uid="{F2B60C2F-5C8D-E444-93AA-ED15A694D34D}"/>
    <hyperlink ref="K772" r:id="rId642" location="Vahva_aseeseen_erikoistuminen_[yleis]" xr:uid="{4C0232E7-B8C3-5C42-BCE4-F65D98E94CA8}"/>
    <hyperlink ref="K785" r:id="rId643" location="Vahva_aseeseen_erikoistuminen_[yleis]" xr:uid="{115BA0DF-E45B-0045-A82E-4E17D083FB20}"/>
    <hyperlink ref="K798" r:id="rId644" location="Vahva_aseeseen_erikoistuminen_[yleis]" xr:uid="{8D1EFBCA-DD86-174C-8B05-1673C917DC29}"/>
    <hyperlink ref="K811" r:id="rId645" location="Vahva_aseeseen_erikoistuminen_[yleis]" xr:uid="{9791AD80-0926-A949-B9C2-D2CE3F628B9B}"/>
    <hyperlink ref="K832" r:id="rId646" location="Vahva_aseeseen_erikoistuminen_[yleis]" xr:uid="{B7FB0D93-8A4B-C144-BF4C-EA6D8FA3BE70}"/>
    <hyperlink ref="K838" r:id="rId647" location="Vahva_aseeseen_erikoistuminen_[yleis]" xr:uid="{124FDB0B-FCC7-E94A-960E-58668E5CFB2A}"/>
    <hyperlink ref="K844" r:id="rId648" location="Vahva_aseeseen_erikoistuminen_[yleis]" xr:uid="{B52287C8-20E5-514C-A9EC-89A0B99181E7}"/>
    <hyperlink ref="H826" r:id="rId649" location="L%C3%A4hiammunta_[yleis]" xr:uid="{3E716B93-7615-E441-A237-5F087F4718F9}"/>
    <hyperlink ref="H813" r:id="rId650" location="L%C3%A4hiammunta_[yleis]" xr:uid="{E04F8B5B-33DF-9D43-85FD-ADC5D3E1A76A}"/>
    <hyperlink ref="H800" r:id="rId651" location="L%C3%A4hiammunta_[yleis]" xr:uid="{B807C28A-6EB8-0C46-A7EC-68E1E18C86C5}"/>
    <hyperlink ref="H787" r:id="rId652" location="L%C3%A4hiammunta_[yleis]" xr:uid="{E7343223-F059-CC4B-BA37-907F38155F24}"/>
    <hyperlink ref="H774" r:id="rId653" location="L%C3%A4hiammunta_[yleis]" xr:uid="{27D3874E-8EFF-2E49-9852-10E913CA3E85}"/>
    <hyperlink ref="H761" r:id="rId654" location="L%C3%A4hiammunta_[yleis]" xr:uid="{5B96B7DA-795D-0940-B447-5970911FA33D}"/>
    <hyperlink ref="H748" r:id="rId655" location="L%C3%A4hiammunta_[yleis]" xr:uid="{1869C403-130D-EB4C-8DBE-335C2D1876A4}"/>
    <hyperlink ref="H735" r:id="rId656" location="L%C3%A4hiammunta_[yleis]" xr:uid="{490B31CA-1304-EC46-AA89-B8D39695814D}"/>
    <hyperlink ref="H722" r:id="rId657" location="L%C3%A4hiammunta_[yleis]" xr:uid="{7B36CACB-20E0-BE4F-A7BA-F582E5F671AE}"/>
    <hyperlink ref="H709" r:id="rId658" location="L%C3%A4hiammunta_[yleis]" xr:uid="{6A361A55-CB47-6243-8C3B-C241F1F71DCD}"/>
    <hyperlink ref="H696" r:id="rId659" location="L%C3%A4hiammunta_[yleis]" xr:uid="{072630BA-7AB5-2146-BD9B-064B0E37C5E8}"/>
    <hyperlink ref="H686" r:id="rId660" location="L%C3%A4hiammunta_[yleis]" xr:uid="{D6AA0DF2-54DF-894D-B667-6FDB217E7641}"/>
    <hyperlink ref="H678" r:id="rId661" location="L%C3%A4hiammunta_[yleis]" xr:uid="{1B0CC9FB-27C2-8247-B252-CD2FF6D446C6}"/>
    <hyperlink ref="H670" r:id="rId662" location="L%C3%A4hiammunta_[yleis]" xr:uid="{25A3E55C-D9B6-634F-B45F-5FE5D5752D16}"/>
    <hyperlink ref="H662" r:id="rId663" location="L%C3%A4hiammunta_[yleis]" xr:uid="{5BE8C47D-89E0-694F-9FC4-2AEABFA78EB8}"/>
    <hyperlink ref="H654" r:id="rId664" location="L%C3%A4hiammunta_[yleis]" xr:uid="{51D33FE5-F927-9046-8573-A4E5073FEFFB}"/>
    <hyperlink ref="H502" r:id="rId665" location="L%C3%A4hiammunta_[yleis]" xr:uid="{CB747539-3143-504A-A3D6-1BD91B060880}"/>
    <hyperlink ref="H478" r:id="rId666" location="L%C3%A4hiammunta_[yleis]" xr:uid="{693E838C-D6F2-F44D-A284-CC6879D92858}"/>
    <hyperlink ref="H286" r:id="rId667" location="L%C3%A4hiammunta_[yleis]" xr:uid="{197BDE64-7B19-7E42-9B86-1D1F62202A60}"/>
    <hyperlink ref="H256" r:id="rId668" location="L%C3%A4hiammunta_[yleis]" xr:uid="{A563B781-2721-A14D-822C-37C4386437FC}"/>
    <hyperlink ref="H242" r:id="rId669" location="L%C3%A4hiammunta_[yleis]" xr:uid="{3BC4053C-1FDD-8E4A-8270-8ACC09FAD57D}"/>
    <hyperlink ref="H228" r:id="rId670" location="L%C3%A4hiammunta_[yleis]" xr:uid="{A36AEEB2-9325-124C-9CAC-3D823B396EF7}"/>
    <hyperlink ref="H206" r:id="rId671" location="L%C3%A4hiammunta_[yleis]" xr:uid="{C5411326-B1BF-FF4B-B1ED-0CCF1BEBA1FB}"/>
    <hyperlink ref="K117" r:id="rId672" xr:uid="{74E9ADE0-C1E7-394C-94D3-EE3B79283C33}"/>
    <hyperlink ref="K118" r:id="rId673" xr:uid="{136DB680-307B-7B45-ABD7-4BDC9679B959}"/>
    <hyperlink ref="A844" r:id="rId674" location="Iskusade_(Po)" xr:uid="{03C37EF9-130B-DB4D-8F1E-E7AE9C7692FC}"/>
  </hyperlinks>
  <pageMargins left="0.75" right="0.75" top="1" bottom="1" header="0.5" footer="0.5"/>
  <pageSetup paperSize="9" orientation="portrait" horizontalDpi="4294967292" verticalDpi="4294967292"/>
  <extLst>
    <ext xmlns:x14="http://schemas.microsoft.com/office/spreadsheetml/2009/9/main" uri="{CCE6A557-97BC-4b89-ADB6-D9C93CAAB3DF}">
      <x14:dataValidations xmlns:xm="http://schemas.microsoft.com/office/excel/2006/main" count="8">
        <x14:dataValidation type="list" allowBlank="1" showInputMessage="1" showErrorMessage="1" xr:uid="{A86D91C4-952C-4544-9BEF-3641887030F9}">
          <x14:formula1>
            <xm:f>Valikot!$A$1:$A$9</xm:f>
          </x14:formula1>
          <xm:sqref>B7</xm:sqref>
        </x14:dataValidation>
        <x14:dataValidation type="list" allowBlank="1" showInputMessage="1" showErrorMessage="1" xr:uid="{316AAD56-ADEC-3142-9999-4CA23DAC1CD8}">
          <x14:formula1>
            <xm:f>Valikot!$A$11:$A$13</xm:f>
          </x14:formula1>
          <xm:sqref>H32</xm:sqref>
        </x14:dataValidation>
        <x14:dataValidation type="list" allowBlank="1" showInputMessage="1" showErrorMessage="1" xr:uid="{CD8647ED-3D6E-1642-8560-63E58ECE666C}">
          <x14:formula1>
            <xm:f>Valikot!$A$15:$A$16</xm:f>
          </x14:formula1>
          <xm:sqref>N14:N21 K32 C75:C83 C113:C119 I75:I92 M75:M76 M107:M115 M119:M120 H203 H205:K205 H207 H225 H227:K227 H229 H239 H241:K241 H243 H253 H255:K255 H257 H283 H285:K285 H287 H475 H477:K477 H479 H499 H501:K501 H503 H651 H653:K653 H655 H659 H661:K661 H663 H667 H669:K669 H671 H675 H677:K677 H679 H683 H685:I685 H687 H693 H695:K695 H697:J697 H706 H708:K708 H710:J710 H719 H721:K721 H723 H732 H734:K734 H736 H745 H747:K747 H749:J749 H771 H773:K773 H775:J775 H784 H786:K786 H788:J788 H758 H760:K760 H762 H797 H799:K799 H801 H810 H812:K812 H814 H825 H827 H833:K833 H839:K839 H845:K845 B39 H217 H219:K219 H267 H269:K269 H275 H277:K277 H297 H299:K299 H305 H307:K307 H313 H315:K315 H321 H323:K323 H329 H331:K331 H337 H339:K339 H345 H347:K347 H353 H355:K355 H361 H363:K363 H369 H371:K371 H377 H379:K379 H393 H395:K395 H385 H387:K387 B45 H405:K405 H409 H411:K411 H415 H417:K417 H421 H423:K423 H427 H429:K429 H433 H435:K435 H439 H441:K441 H445 H447:K447 H451 H453:K453 H457 H459:K459 H463 H465:K465 H469 H471:K471 H487 H489:K489 H493 H495:K495 H513 H515:K515 H519 H521:K521 H525 H527:K527 H531 H533:K533 H537 H539:K539 H553 H555:K555 H559 H561:K561 H567 H569:K569 H573 H575:K575 H579 H581:K581 H585 H587:K587 H591 H593:K593 H597 H599:K599 H605 H607:K607 H611 H613:K613 H617 H619:K619 H623 H625:K625 H629 H631:K631 H635 H637:K637 H641 H643:K643 M78:M81 C87:C111 M85:M93 M95:M105 H543 H545:K545 H40:K40 M117 H46:K46</xm:sqref>
        </x14:dataValidation>
        <x14:dataValidation type="list" allowBlank="1" showInputMessage="1" showErrorMessage="1" xr:uid="{3BD25009-F83F-8843-AC8D-6C6C3EE35537}">
          <x14:formula1>
            <xm:f>Valikot!$A$18:$A$69</xm:f>
          </x14:formula1>
          <xm:sqref>B2:B4 B10 F2:F7 J2:M7 I14:I15 N150 C112 I17:I19 M77 M94 M106 M116 C141:C197 E141:E197 I361 I353 I369 I377 I345 I203 I217 I225 I239 I253 I267 I275 I283 I297 I305 I313 I321 I329 I337 I393 I385 I403 I409 I415 I421 I427 I433 I439 I445 I451 I457 I463 I469 I475 I487 I493 I499 I513 I519 I525 I531 I537 I553 I559 I567 I573 I579 I585 I591 I597 I605 I611 I617 I623 I629 I635 I641 I651 I659 I667 I675 I683 I693 I706 I719 I732 I745 I758 I771 I784 I797 I801 I810 I814 H831 H837 H843:I843 C120 I543 H38 B40 B46 H44 M118</xm:sqref>
        </x14:dataValidation>
        <x14:dataValidation type="list" allowBlank="1" showInputMessage="1" showErrorMessage="1" xr:uid="{4981343A-B415-3C44-8962-63644D7AF415}">
          <x14:formula1>
            <xm:f>Valikot!$C$1:$C$11</xm:f>
          </x14:formula1>
          <xm:sqref>M36</xm:sqref>
        </x14:dataValidation>
        <x14:dataValidation type="list" allowBlank="1" showInputMessage="1" showErrorMessage="1" xr:uid="{E66DE29E-B498-D04B-A952-EC19156867B3}">
          <x14:formula1>
            <xm:f>Valikot!$E$1:$E$41</xm:f>
          </x14:formula1>
          <xm:sqref>J843:K843 N141:N146 F142 J141:J197 J203:K203 J217:K217 J225:K225 J239:K239 J253:K253 J267:K267 J275:K275 J283:K283 J297:K297 J305:K305 J313:K313 J321:K321 J329:K329 J337:K337 J345:K345 J353:K353 J361:K361 J369:K369 J377:K377 J393:K393 J385:K385 J403:K403 J409:K409 J415:K415 J421:K421 J427:K427 J433:K433 J439:K439 J445:K445 J451:K451 J457:K457 J463:K463 J469:K469 J475:K475 J487:K487 J493:K493 J499:K499 J513:K513 J519:K519 J525:K525 J531:K531 J537:K537 J553:K553 J559:K559 J567:K567 J573:K573 J579:K579 J585:K585 J591:K591 J597:K597 J605:K605 J611:K611 J617:K617 J623:K623 J629:K629 J635:K635 J641:K641 J651:K651 J659:K659 J667:K667 J675:K675 J683 J693:K693 J706:K706 J719:K719 J732:K732 J745:K745 J758:K758 J771:K771 J784:K784 J797:K797 J810:K810 I831:J831 H823:I823 I837:J837 I20 J543:K543 I44:J44 I38:J38</xm:sqref>
        </x14:dataValidation>
        <x14:dataValidation type="list" allowBlank="1" showInputMessage="1" showErrorMessage="1" xr:uid="{25B7198F-0AD8-1E4C-B0E8-A57E525DD71D}">
          <x14:formula1>
            <xm:f>Valikot!$C$15:$C$47</xm:f>
          </x14:formula1>
          <xm:sqref>B9</xm:sqref>
        </x14:dataValidation>
        <x14:dataValidation type="list" allowBlank="1" showInputMessage="1" showErrorMessage="1" xr:uid="{72D61A69-9739-7241-9DFB-33D65558D70B}">
          <x14:formula1>
            <xm:f>Valikot!$G$1:$G$62</xm:f>
          </x14:formula1>
          <xm:sqref>B28:B30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677CCA-FCC1-EF47-850E-280736EDD24D}">
  <dimension ref="A1:A26"/>
  <sheetViews>
    <sheetView workbookViewId="0">
      <selection activeCell="A12" sqref="A12"/>
    </sheetView>
  </sheetViews>
  <sheetFormatPr baseColWidth="10" defaultRowHeight="16" x14ac:dyDescent="0.2"/>
  <sheetData>
    <row r="1" spans="1:1" s="2" customFormat="1" ht="26" x14ac:dyDescent="0.3">
      <c r="A1" s="9" t="s">
        <v>373</v>
      </c>
    </row>
    <row r="2" spans="1:1" s="2" customFormat="1" ht="26" x14ac:dyDescent="0.3">
      <c r="A2" s="9"/>
    </row>
    <row r="3" spans="1:1" s="2" customFormat="1" ht="26" x14ac:dyDescent="0.3">
      <c r="A3" s="9" t="s">
        <v>422</v>
      </c>
    </row>
    <row r="4" spans="1:1" s="2" customFormat="1" ht="26" x14ac:dyDescent="0.3">
      <c r="A4" s="9" t="s">
        <v>388</v>
      </c>
    </row>
    <row r="5" spans="1:1" s="2" customFormat="1" ht="26" x14ac:dyDescent="0.3">
      <c r="A5" s="9" t="s">
        <v>375</v>
      </c>
    </row>
    <row r="8" spans="1:1" s="3" customFormat="1" ht="26" x14ac:dyDescent="0.3">
      <c r="A8" s="4" t="s">
        <v>430</v>
      </c>
    </row>
    <row r="9" spans="1:1" s="3" customFormat="1" ht="26" x14ac:dyDescent="0.3">
      <c r="A9" s="4" t="s">
        <v>429</v>
      </c>
    </row>
    <row r="10" spans="1:1" s="3" customFormat="1" ht="26" x14ac:dyDescent="0.3">
      <c r="A10" s="4" t="s">
        <v>433</v>
      </c>
    </row>
    <row r="11" spans="1:1" s="3" customFormat="1" ht="26" x14ac:dyDescent="0.3">
      <c r="A11" s="4" t="s">
        <v>434</v>
      </c>
    </row>
    <row r="14" spans="1:1" s="6" customFormat="1" ht="26" x14ac:dyDescent="0.3">
      <c r="A14" s="5" t="s">
        <v>415</v>
      </c>
    </row>
    <row r="15" spans="1:1" s="6" customFormat="1" ht="26" x14ac:dyDescent="0.3">
      <c r="A15" s="5" t="s">
        <v>374</v>
      </c>
    </row>
    <row r="16" spans="1:1" s="6" customFormat="1" ht="26" x14ac:dyDescent="0.3">
      <c r="A16" s="5" t="s">
        <v>431</v>
      </c>
    </row>
    <row r="19" spans="1:1" s="8" customFormat="1" ht="26" x14ac:dyDescent="0.3">
      <c r="A19" s="7" t="s">
        <v>419</v>
      </c>
    </row>
    <row r="22" spans="1:1" s="2" customFormat="1" ht="26" x14ac:dyDescent="0.3">
      <c r="A22" s="9" t="s">
        <v>420</v>
      </c>
    </row>
    <row r="23" spans="1:1" s="2" customFormat="1" ht="26" x14ac:dyDescent="0.3">
      <c r="A23" s="9" t="s">
        <v>421</v>
      </c>
    </row>
    <row r="26" spans="1:1" x14ac:dyDescent="0.2">
      <c r="A26" t="s">
        <v>380</v>
      </c>
    </row>
  </sheetData>
  <conditionalFormatting sqref="A14:XFD14">
    <cfRule type="endsWith" dxfId="36" priority="5" operator="endsWith" text="x">
      <formula>RIGHT(A14,LEN("x"))="x"</formula>
    </cfRule>
  </conditionalFormatting>
  <conditionalFormatting sqref="A8:XFD10">
    <cfRule type="endsWith" dxfId="35" priority="4" operator="endsWith" text="x">
      <formula>RIGHT(A8,LEN("x"))="x"</formula>
    </cfRule>
  </conditionalFormatting>
  <conditionalFormatting sqref="A16:XFD16">
    <cfRule type="endsWith" dxfId="34" priority="3" operator="endsWith" text="x">
      <formula>RIGHT(A16,LEN("x"))="x"</formula>
    </cfRule>
  </conditionalFormatting>
  <conditionalFormatting sqref="A15:XFD15">
    <cfRule type="endsWith" dxfId="33" priority="2" operator="endsWith" text="x">
      <formula>RIGHT(A15,LEN("x"))="x"</formula>
    </cfRule>
  </conditionalFormatting>
  <conditionalFormatting sqref="A11:XFD11">
    <cfRule type="endsWith" dxfId="32" priority="1" operator="endsWith" text="x">
      <formula>RIGHT(A11,LEN("x"))="x"</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C73FBC-C4AF-204D-A6E4-4D6BAF5367B4}">
  <dimension ref="A1:G69"/>
  <sheetViews>
    <sheetView workbookViewId="0">
      <selection activeCell="I30" sqref="I30"/>
    </sheetView>
  </sheetViews>
  <sheetFormatPr baseColWidth="10" defaultRowHeight="16" x14ac:dyDescent="0.2"/>
  <cols>
    <col min="1" max="1" width="17.83203125" style="1" customWidth="1"/>
    <col min="3" max="3" width="10.83203125" style="1"/>
    <col min="5" max="5" width="10.83203125" style="1"/>
  </cols>
  <sheetData>
    <row r="1" spans="1:7" x14ac:dyDescent="0.2">
      <c r="A1" s="1" t="s">
        <v>395</v>
      </c>
      <c r="E1" s="1">
        <v>-20</v>
      </c>
      <c r="G1" s="1">
        <v>-10</v>
      </c>
    </row>
    <row r="2" spans="1:7" x14ac:dyDescent="0.2">
      <c r="A2" s="1" t="s">
        <v>396</v>
      </c>
      <c r="C2" s="1" t="s">
        <v>405</v>
      </c>
      <c r="E2" s="1">
        <v>-19</v>
      </c>
      <c r="G2" s="1">
        <v>-9</v>
      </c>
    </row>
    <row r="3" spans="1:7" x14ac:dyDescent="0.2">
      <c r="A3" s="1" t="s">
        <v>397</v>
      </c>
      <c r="C3" s="1" t="s">
        <v>406</v>
      </c>
      <c r="E3" s="1">
        <v>-18</v>
      </c>
      <c r="G3" s="1">
        <v>-8</v>
      </c>
    </row>
    <row r="4" spans="1:7" x14ac:dyDescent="0.2">
      <c r="A4" s="1" t="s">
        <v>394</v>
      </c>
      <c r="C4" s="1" t="s">
        <v>407</v>
      </c>
      <c r="E4" s="1">
        <v>-17</v>
      </c>
      <c r="G4" s="1">
        <v>-7</v>
      </c>
    </row>
    <row r="5" spans="1:7" x14ac:dyDescent="0.2">
      <c r="A5" s="1" t="s">
        <v>378</v>
      </c>
      <c r="C5" s="1" t="s">
        <v>408</v>
      </c>
      <c r="E5" s="1">
        <v>-16</v>
      </c>
      <c r="G5" s="1">
        <v>-6</v>
      </c>
    </row>
    <row r="6" spans="1:7" x14ac:dyDescent="0.2">
      <c r="A6" s="1" t="s">
        <v>384</v>
      </c>
      <c r="C6" s="1" t="s">
        <v>409</v>
      </c>
      <c r="E6" s="1">
        <v>-15</v>
      </c>
      <c r="G6" s="1">
        <v>-5</v>
      </c>
    </row>
    <row r="7" spans="1:7" x14ac:dyDescent="0.2">
      <c r="A7" s="1" t="s">
        <v>398</v>
      </c>
      <c r="C7" s="1" t="s">
        <v>410</v>
      </c>
      <c r="E7" s="1">
        <v>-14</v>
      </c>
      <c r="G7" s="1">
        <v>-4</v>
      </c>
    </row>
    <row r="8" spans="1:7" x14ac:dyDescent="0.2">
      <c r="A8" s="1" t="s">
        <v>383</v>
      </c>
      <c r="C8" s="1" t="s">
        <v>411</v>
      </c>
      <c r="E8" s="1">
        <v>-13</v>
      </c>
      <c r="G8" s="1">
        <v>-3</v>
      </c>
    </row>
    <row r="9" spans="1:7" x14ac:dyDescent="0.2">
      <c r="A9" s="1" t="s">
        <v>382</v>
      </c>
      <c r="C9" s="1" t="s">
        <v>412</v>
      </c>
      <c r="E9" s="1">
        <v>-12</v>
      </c>
      <c r="G9" s="1">
        <v>-2</v>
      </c>
    </row>
    <row r="10" spans="1:7" x14ac:dyDescent="0.2">
      <c r="C10" s="1" t="s">
        <v>413</v>
      </c>
      <c r="E10" s="1">
        <v>-11</v>
      </c>
      <c r="G10" s="1">
        <v>-1</v>
      </c>
    </row>
    <row r="11" spans="1:7" x14ac:dyDescent="0.2">
      <c r="A11" s="1" t="s">
        <v>37</v>
      </c>
      <c r="C11" s="1" t="s">
        <v>414</v>
      </c>
      <c r="E11" s="1">
        <v>-10</v>
      </c>
      <c r="G11" s="1">
        <v>0</v>
      </c>
    </row>
    <row r="12" spans="1:7" x14ac:dyDescent="0.2">
      <c r="A12" s="1" t="s">
        <v>36</v>
      </c>
      <c r="E12" s="1">
        <v>-9</v>
      </c>
      <c r="G12" s="1">
        <v>1</v>
      </c>
    </row>
    <row r="13" spans="1:7" x14ac:dyDescent="0.2">
      <c r="A13" s="1" t="s">
        <v>38</v>
      </c>
      <c r="E13" s="1">
        <v>-8</v>
      </c>
      <c r="G13" s="1">
        <v>2</v>
      </c>
    </row>
    <row r="14" spans="1:7" x14ac:dyDescent="0.2">
      <c r="E14" s="1">
        <v>-7</v>
      </c>
      <c r="G14" s="1">
        <v>3</v>
      </c>
    </row>
    <row r="15" spans="1:7" x14ac:dyDescent="0.2">
      <c r="C15" s="1">
        <v>0</v>
      </c>
      <c r="E15" s="1">
        <v>-6</v>
      </c>
      <c r="G15" s="1">
        <v>4</v>
      </c>
    </row>
    <row r="16" spans="1:7" x14ac:dyDescent="0.2">
      <c r="A16" s="1" t="s">
        <v>379</v>
      </c>
      <c r="C16" s="1">
        <v>5</v>
      </c>
      <c r="E16" s="1">
        <v>-5</v>
      </c>
      <c r="G16" s="1">
        <v>5</v>
      </c>
    </row>
    <row r="17" spans="1:7" x14ac:dyDescent="0.2">
      <c r="C17" s="1">
        <v>10</v>
      </c>
      <c r="E17" s="1">
        <v>-4</v>
      </c>
      <c r="G17" s="1">
        <v>6</v>
      </c>
    </row>
    <row r="18" spans="1:7" x14ac:dyDescent="0.2">
      <c r="A18" s="1">
        <v>0</v>
      </c>
      <c r="C18" s="1">
        <v>15</v>
      </c>
      <c r="E18" s="1">
        <v>-3</v>
      </c>
      <c r="G18" s="1">
        <v>7</v>
      </c>
    </row>
    <row r="19" spans="1:7" x14ac:dyDescent="0.2">
      <c r="A19" s="1">
        <v>1</v>
      </c>
      <c r="C19" s="1">
        <v>20</v>
      </c>
      <c r="E19" s="1">
        <v>-2</v>
      </c>
      <c r="G19" s="1">
        <v>8</v>
      </c>
    </row>
    <row r="20" spans="1:7" x14ac:dyDescent="0.2">
      <c r="A20" s="1">
        <v>2</v>
      </c>
      <c r="C20" s="1">
        <v>30</v>
      </c>
      <c r="E20" s="1">
        <v>-1</v>
      </c>
      <c r="G20" s="1">
        <v>9</v>
      </c>
    </row>
    <row r="21" spans="1:7" x14ac:dyDescent="0.2">
      <c r="A21" s="1">
        <v>3</v>
      </c>
      <c r="C21" s="1">
        <v>40</v>
      </c>
      <c r="E21" s="1">
        <v>0</v>
      </c>
      <c r="G21" s="1">
        <v>10</v>
      </c>
    </row>
    <row r="22" spans="1:7" x14ac:dyDescent="0.2">
      <c r="A22" s="1">
        <v>4</v>
      </c>
      <c r="C22" s="1">
        <v>50</v>
      </c>
      <c r="E22" s="1">
        <v>1</v>
      </c>
      <c r="G22" s="1">
        <v>11</v>
      </c>
    </row>
    <row r="23" spans="1:7" x14ac:dyDescent="0.2">
      <c r="A23" s="1">
        <v>5</v>
      </c>
      <c r="C23" s="1">
        <v>60</v>
      </c>
      <c r="E23" s="1">
        <v>2</v>
      </c>
      <c r="G23" s="1">
        <v>12</v>
      </c>
    </row>
    <row r="24" spans="1:7" x14ac:dyDescent="0.2">
      <c r="A24" s="1">
        <v>6</v>
      </c>
      <c r="C24" s="1">
        <v>70</v>
      </c>
      <c r="E24" s="1">
        <v>3</v>
      </c>
      <c r="G24" s="1">
        <v>13</v>
      </c>
    </row>
    <row r="25" spans="1:7" x14ac:dyDescent="0.2">
      <c r="A25" s="1">
        <v>7</v>
      </c>
      <c r="C25" s="1">
        <v>80</v>
      </c>
      <c r="E25" s="1">
        <v>4</v>
      </c>
      <c r="G25" s="1">
        <v>14</v>
      </c>
    </row>
    <row r="26" spans="1:7" x14ac:dyDescent="0.2">
      <c r="A26" s="1">
        <v>8</v>
      </c>
      <c r="C26" s="1">
        <v>90</v>
      </c>
      <c r="E26" s="1">
        <v>5</v>
      </c>
      <c r="G26" s="1">
        <v>15</v>
      </c>
    </row>
    <row r="27" spans="1:7" x14ac:dyDescent="0.2">
      <c r="A27" s="1">
        <v>9</v>
      </c>
      <c r="C27" s="1">
        <v>100</v>
      </c>
      <c r="E27" s="1">
        <v>6</v>
      </c>
      <c r="G27" s="1">
        <v>16</v>
      </c>
    </row>
    <row r="28" spans="1:7" x14ac:dyDescent="0.2">
      <c r="A28" s="1">
        <v>10</v>
      </c>
      <c r="C28" s="1">
        <v>110</v>
      </c>
      <c r="E28" s="1">
        <v>7</v>
      </c>
      <c r="G28" s="1">
        <v>17</v>
      </c>
    </row>
    <row r="29" spans="1:7" x14ac:dyDescent="0.2">
      <c r="A29" s="1">
        <v>11</v>
      </c>
      <c r="C29" s="1">
        <v>120</v>
      </c>
      <c r="E29" s="1">
        <v>8</v>
      </c>
      <c r="G29" s="1">
        <v>18</v>
      </c>
    </row>
    <row r="30" spans="1:7" x14ac:dyDescent="0.2">
      <c r="A30" s="1">
        <v>12</v>
      </c>
      <c r="C30" s="1">
        <v>130</v>
      </c>
      <c r="E30" s="1">
        <v>9</v>
      </c>
      <c r="G30" s="1">
        <v>19</v>
      </c>
    </row>
    <row r="31" spans="1:7" x14ac:dyDescent="0.2">
      <c r="A31" s="1">
        <v>13</v>
      </c>
      <c r="C31" s="1">
        <v>140</v>
      </c>
      <c r="E31" s="1">
        <v>10</v>
      </c>
      <c r="G31" s="1">
        <v>20</v>
      </c>
    </row>
    <row r="32" spans="1:7" x14ac:dyDescent="0.2">
      <c r="A32" s="1">
        <v>14</v>
      </c>
      <c r="C32" s="1">
        <v>150</v>
      </c>
      <c r="E32" s="1">
        <v>11</v>
      </c>
      <c r="G32" s="1">
        <v>21</v>
      </c>
    </row>
    <row r="33" spans="1:7" x14ac:dyDescent="0.2">
      <c r="A33" s="1">
        <v>15</v>
      </c>
      <c r="C33" s="1">
        <v>160</v>
      </c>
      <c r="E33" s="1">
        <v>12</v>
      </c>
      <c r="G33" s="1">
        <v>22</v>
      </c>
    </row>
    <row r="34" spans="1:7" x14ac:dyDescent="0.2">
      <c r="A34" s="1">
        <v>16</v>
      </c>
      <c r="C34" s="1">
        <v>170</v>
      </c>
      <c r="E34" s="1">
        <v>13</v>
      </c>
      <c r="G34" s="1">
        <v>23</v>
      </c>
    </row>
    <row r="35" spans="1:7" x14ac:dyDescent="0.2">
      <c r="A35" s="1">
        <v>17</v>
      </c>
      <c r="C35" s="1">
        <v>180</v>
      </c>
      <c r="E35" s="1">
        <v>14</v>
      </c>
      <c r="G35" s="1">
        <v>24</v>
      </c>
    </row>
    <row r="36" spans="1:7" x14ac:dyDescent="0.2">
      <c r="A36" s="1">
        <v>18</v>
      </c>
      <c r="C36" s="1">
        <v>190</v>
      </c>
      <c r="E36" s="1">
        <v>15</v>
      </c>
      <c r="G36" s="1">
        <v>25</v>
      </c>
    </row>
    <row r="37" spans="1:7" x14ac:dyDescent="0.2">
      <c r="A37" s="1">
        <v>19</v>
      </c>
      <c r="C37" s="1">
        <v>200</v>
      </c>
      <c r="E37" s="1">
        <v>16</v>
      </c>
      <c r="G37" s="1">
        <v>26</v>
      </c>
    </row>
    <row r="38" spans="1:7" x14ac:dyDescent="0.2">
      <c r="A38" s="1">
        <v>20</v>
      </c>
      <c r="C38" s="1">
        <v>210</v>
      </c>
      <c r="E38" s="1">
        <v>17</v>
      </c>
      <c r="G38" s="1">
        <v>27</v>
      </c>
    </row>
    <row r="39" spans="1:7" x14ac:dyDescent="0.2">
      <c r="A39" s="1">
        <v>21</v>
      </c>
      <c r="C39" s="1">
        <v>220</v>
      </c>
      <c r="E39" s="1">
        <v>18</v>
      </c>
      <c r="G39" s="1">
        <v>28</v>
      </c>
    </row>
    <row r="40" spans="1:7" x14ac:dyDescent="0.2">
      <c r="A40" s="1">
        <v>22</v>
      </c>
      <c r="C40" s="1">
        <v>230</v>
      </c>
      <c r="E40" s="1">
        <v>19</v>
      </c>
      <c r="G40" s="1">
        <v>29</v>
      </c>
    </row>
    <row r="41" spans="1:7" x14ac:dyDescent="0.2">
      <c r="A41" s="1">
        <v>23</v>
      </c>
      <c r="C41" s="1">
        <v>240</v>
      </c>
      <c r="E41" s="1">
        <v>20</v>
      </c>
      <c r="G41" s="1">
        <v>30</v>
      </c>
    </row>
    <row r="42" spans="1:7" x14ac:dyDescent="0.2">
      <c r="A42" s="1">
        <v>24</v>
      </c>
      <c r="C42" s="1">
        <v>250</v>
      </c>
      <c r="G42" s="1">
        <v>31</v>
      </c>
    </row>
    <row r="43" spans="1:7" x14ac:dyDescent="0.2">
      <c r="A43" s="1">
        <v>25</v>
      </c>
      <c r="C43" s="1">
        <v>260</v>
      </c>
      <c r="G43" s="1">
        <v>32</v>
      </c>
    </row>
    <row r="44" spans="1:7" x14ac:dyDescent="0.2">
      <c r="A44" s="1">
        <v>26</v>
      </c>
      <c r="C44" s="1">
        <v>270</v>
      </c>
      <c r="G44" s="1">
        <v>33</v>
      </c>
    </row>
    <row r="45" spans="1:7" x14ac:dyDescent="0.2">
      <c r="A45" s="1">
        <v>27</v>
      </c>
      <c r="C45" s="1">
        <v>280</v>
      </c>
      <c r="G45" s="1">
        <v>34</v>
      </c>
    </row>
    <row r="46" spans="1:7" x14ac:dyDescent="0.2">
      <c r="A46" s="1">
        <v>28</v>
      </c>
      <c r="C46" s="1">
        <v>290</v>
      </c>
      <c r="G46" s="1">
        <v>35</v>
      </c>
    </row>
    <row r="47" spans="1:7" x14ac:dyDescent="0.2">
      <c r="A47" s="1">
        <v>29</v>
      </c>
      <c r="C47" s="1">
        <v>300</v>
      </c>
      <c r="G47" s="1">
        <v>36</v>
      </c>
    </row>
    <row r="48" spans="1:7" x14ac:dyDescent="0.2">
      <c r="A48" s="1">
        <v>30</v>
      </c>
      <c r="G48" s="1">
        <v>37</v>
      </c>
    </row>
    <row r="49" spans="1:7" x14ac:dyDescent="0.2">
      <c r="A49" s="1">
        <v>31</v>
      </c>
      <c r="G49" s="1">
        <v>38</v>
      </c>
    </row>
    <row r="50" spans="1:7" x14ac:dyDescent="0.2">
      <c r="A50" s="1">
        <v>32</v>
      </c>
      <c r="G50" s="1">
        <v>39</v>
      </c>
    </row>
    <row r="51" spans="1:7" x14ac:dyDescent="0.2">
      <c r="A51" s="1">
        <v>33</v>
      </c>
      <c r="G51" s="1">
        <v>40</v>
      </c>
    </row>
    <row r="52" spans="1:7" x14ac:dyDescent="0.2">
      <c r="A52" s="1">
        <v>34</v>
      </c>
      <c r="G52" s="1">
        <v>41</v>
      </c>
    </row>
    <row r="53" spans="1:7" x14ac:dyDescent="0.2">
      <c r="A53" s="1">
        <v>35</v>
      </c>
      <c r="G53" s="1">
        <v>42</v>
      </c>
    </row>
    <row r="54" spans="1:7" x14ac:dyDescent="0.2">
      <c r="A54" s="1">
        <v>36</v>
      </c>
      <c r="G54" s="1">
        <v>43</v>
      </c>
    </row>
    <row r="55" spans="1:7" x14ac:dyDescent="0.2">
      <c r="A55" s="1">
        <v>37</v>
      </c>
      <c r="G55" s="1">
        <v>44</v>
      </c>
    </row>
    <row r="56" spans="1:7" x14ac:dyDescent="0.2">
      <c r="A56" s="1">
        <v>38</v>
      </c>
      <c r="G56" s="1">
        <v>45</v>
      </c>
    </row>
    <row r="57" spans="1:7" x14ac:dyDescent="0.2">
      <c r="A57" s="1">
        <v>39</v>
      </c>
      <c r="G57" s="1">
        <v>46</v>
      </c>
    </row>
    <row r="58" spans="1:7" x14ac:dyDescent="0.2">
      <c r="A58" s="1">
        <v>40</v>
      </c>
      <c r="G58" s="1">
        <v>47</v>
      </c>
    </row>
    <row r="59" spans="1:7" x14ac:dyDescent="0.2">
      <c r="A59" s="1">
        <v>41</v>
      </c>
      <c r="G59" s="1">
        <v>48</v>
      </c>
    </row>
    <row r="60" spans="1:7" x14ac:dyDescent="0.2">
      <c r="A60" s="1">
        <v>42</v>
      </c>
      <c r="G60" s="1">
        <v>49</v>
      </c>
    </row>
    <row r="61" spans="1:7" x14ac:dyDescent="0.2">
      <c r="A61" s="1">
        <v>43</v>
      </c>
      <c r="G61" s="1">
        <v>50</v>
      </c>
    </row>
    <row r="62" spans="1:7" x14ac:dyDescent="0.2">
      <c r="A62" s="1">
        <v>44</v>
      </c>
      <c r="G62" s="1">
        <v>51</v>
      </c>
    </row>
    <row r="63" spans="1:7" x14ac:dyDescent="0.2">
      <c r="A63" s="1">
        <v>45</v>
      </c>
    </row>
    <row r="64" spans="1:7" x14ac:dyDescent="0.2">
      <c r="A64" s="1">
        <v>46</v>
      </c>
    </row>
    <row r="65" spans="1:1" x14ac:dyDescent="0.2">
      <c r="A65" s="1">
        <v>47</v>
      </c>
    </row>
    <row r="66" spans="1:1" x14ac:dyDescent="0.2">
      <c r="A66" s="1">
        <v>48</v>
      </c>
    </row>
    <row r="67" spans="1:1" x14ac:dyDescent="0.2">
      <c r="A67" s="1">
        <v>49</v>
      </c>
    </row>
    <row r="68" spans="1:1" x14ac:dyDescent="0.2">
      <c r="A68" s="1">
        <v>50</v>
      </c>
    </row>
    <row r="69" spans="1:1" x14ac:dyDescent="0.2">
      <c r="A69" s="1">
        <v>51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Laskentataulukot</vt:lpstr>
      </vt:variant>
      <vt:variant>
        <vt:i4>3</vt:i4>
      </vt:variant>
    </vt:vector>
  </HeadingPairs>
  <TitlesOfParts>
    <vt:vector size="3" baseType="lpstr">
      <vt:lpstr>Taulukko</vt:lpstr>
      <vt:lpstr>Ohjeet</vt:lpstr>
      <vt:lpstr>Valikot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Seppo Raudaskoski</dc:creator>
  <cp:lastModifiedBy>Microsoft Office User</cp:lastModifiedBy>
  <dcterms:created xsi:type="dcterms:W3CDTF">2018-11-04T20:59:20Z</dcterms:created>
  <dcterms:modified xsi:type="dcterms:W3CDTF">2020-10-05T17:42:44Z</dcterms:modified>
</cp:coreProperties>
</file>